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Allgemein\Gas BK\"/>
    </mc:Choice>
  </mc:AlternateContent>
  <bookViews>
    <workbookView xWindow="0" yWindow="0" windowWidth="28800" windowHeight="1140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S12" i="7"/>
  <c r="T12" i="7"/>
  <c r="U12" i="7"/>
  <c r="V12" i="7"/>
  <c r="W12" i="7"/>
  <c r="R12" i="7"/>
  <c r="X12" i="7" l="1"/>
  <c r="X13" i="7"/>
  <c r="X11" i="7"/>
  <c r="X16" i="7"/>
  <c r="X15" i="7"/>
  <c r="X17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N11" i="7"/>
  <c r="L11" i="7"/>
  <c r="H11" i="7"/>
  <c r="L14" i="7"/>
  <c r="K15" i="7"/>
  <c r="N16" i="7"/>
  <c r="M17" i="7"/>
  <c r="P11" i="7"/>
  <c r="I14" i="7"/>
  <c r="H15" i="7"/>
  <c r="P15" i="7"/>
  <c r="O16" i="7"/>
  <c r="N17" i="7"/>
  <c r="M11" i="7"/>
  <c r="K14" i="7"/>
  <c r="O14" i="7"/>
  <c r="J15" i="7"/>
  <c r="N15" i="7"/>
  <c r="I16" i="7"/>
  <c r="M16" i="7"/>
  <c r="H17" i="7"/>
  <c r="L17" i="7"/>
  <c r="P17" i="7"/>
  <c r="O11" i="7"/>
  <c r="J11" i="7"/>
  <c r="H14" i="7"/>
  <c r="P14" i="7"/>
  <c r="O15" i="7"/>
  <c r="J16" i="7"/>
  <c r="I17" i="7"/>
  <c r="K11" i="7"/>
  <c r="M14" i="7"/>
  <c r="L15" i="7"/>
  <c r="K16" i="7"/>
  <c r="J17" i="7"/>
  <c r="I11" i="7"/>
  <c r="F17" i="7"/>
  <c r="F15" i="7"/>
  <c r="F16" i="7"/>
  <c r="F14" i="7"/>
  <c r="F11" i="7"/>
  <c r="M8" i="4"/>
  <c r="M7" i="4"/>
  <c r="C5" i="1"/>
  <c r="D6" i="15"/>
  <c r="D6" i="7"/>
  <c r="Q15" i="7" l="1"/>
  <c r="Q11" i="7"/>
  <c r="Q16" i="7"/>
  <c r="Q14" i="7"/>
  <c r="Q17" i="7"/>
  <c r="C14" i="7"/>
  <c r="C12" i="7"/>
  <c r="C16" i="7"/>
  <c r="C15" i="7"/>
  <c r="C17" i="7"/>
  <c r="C13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<sst xmlns="http://schemas.openxmlformats.org/spreadsheetml/2006/main" count="1384" uniqueCount="670">
  <si>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</si>
  <si>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</si>
  <si>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</si>
  <si>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</si>
  <si>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</si>
  <si>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</si>
  <si>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</si>
  <si>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</si>
  <si>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</si>
  <si>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</si>
  <si>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</si>
  <si>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</si>
  <si>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</si>
  <si>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</si>
  <si>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</si>
  <si>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</si>
  <si>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</si>
  <si>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</si>
  <si>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</si>
  <si>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</si>
  <si>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</si>
  <si>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</si>
  <si>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</si>
  <si>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</si>
  <si>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</si>
  <si>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</si>
  <si>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</si>
  <si>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</si>
  <si>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</si>
  <si>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</si>
  <si>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</si>
  <si>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</si>
  <si>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</si>
  <si>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</si>
  <si>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</si>
  <si>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</si>
  <si>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</si>
  <si>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</si>
  <si>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</si>
  <si>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</si>
  <si>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</si>
  <si>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</si>
  <si>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</si>
  <si>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</si>
  <si>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</si>
  <si>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</si>
  <si>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</si>
  <si>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</si>
  <si>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</si>
  <si>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</si>
  <si>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</si>
  <si>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</si>
  <si>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</si>
  <si>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</si>
  <si>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</si>
  <si>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</si>
  <si>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</si>
  <si>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</si>
  <si>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</si>
  <si>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</si>
  <si>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</si>
  <si>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</si>
  <si>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</si>
  <si>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</si>
  <si>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</si>
  <si>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</si>
  <si>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</si>
  <si>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</si>
  <si>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</si>
  <si>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</si>
  <si>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</si>
  <si>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</si>
  <si>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</si>
  <si>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</si>
  <si>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</si>
  <si>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</si>
  <si>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</si>
  <si>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</si>
  <si>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</si>
  <si>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</si>
  <si>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</si>
  <si>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</si>
  <si>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</si>
  <si>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</si>
  <si>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</si>
  <si>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</si>
  <si>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</si>
  <si>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</si>
  <si>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</si>
  <si>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</si>
  <si>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</si>
  <si>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</si>
  <si>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</si>
  <si>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</si>
  <si>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</si>
  <si>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</si>
  <si>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</si>
  <si>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</si>
  <si>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</si>
  <si>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</si>
  <si>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</si>
  <si>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</si>
  <si>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</si>
  <si>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</si>
  <si>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</si>
  <si>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</si>
  <si>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</si>
  <si>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</si>
  <si>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</si>
  <si>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</si>
  <si>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</si>
  <si>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</si>
  <si>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</si>
  <si>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</si>
  <si>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</si>
  <si>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</si>
  <si>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</si>
  <si>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</si>
  <si>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</si>
  <si>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</si>
  <si>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</si>
  <si>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</si>
  <si>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</si>
  <si>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</si>
  <si>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</si>
  <si>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</si>
  <si>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</si>
  <si>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</si>
  <si>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</si>
  <si>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</si>
  <si>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</si>
  <si>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</si>
  <si>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</si>
  <si>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</si>
  <si>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</si>
  <si>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</si>
  <si>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</si>
  <si>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</si>
  <si>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</si>
  <si>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</si>
  <si>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</si>
  <si>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</si>
  <si>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</si>
  <si>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</si>
  <si>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</si>
  <si>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</si>
  <si>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</si>
  <si>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</si>
  <si>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</si>
  <si>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</si>
  <si>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</si>
  <si>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</si>
  <si>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</si>
  <si>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</si>
  <si>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</si>
  <si>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</si>
  <si>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</si>
  <si>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</si>
  <si>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</si>
  <si>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</si>
  <si>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</si>
  <si>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</si>
  <si>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</si>
  <si>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</si>
  <si>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</si>
  <si>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</si>
  <si>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</si>
  <si>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</si>
  <si>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</si>
  <si>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</si>
  <si>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</si>
  <si>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</si>
  <si>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</si>
  <si>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</si>
  <si>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</si>
  <si>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</si>
  <si>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</si>
  <si>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</si>
  <si>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</si>
  <si>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</si>
  <si>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</si>
  <si>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</si>
  <si>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</si>
  <si>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</si>
  <si>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</si>
  <si>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</si>
  <si>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</si>
  <si>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</si>
  <si>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</si>
  <si>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</si>
  <si>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</si>
  <si>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</si>
  <si>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</si>
  <si>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</si>
  <si>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</si>
  <si>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</si>
  <si>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</si>
  <si>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</si>
  <si>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</si>
  <si>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</si>
  <si>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</si>
  <si>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</si>
  <si>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</si>
  <si>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</si>
  <si>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</si>
  <si>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</si>
  <si>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</si>
  <si>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</si>
  <si>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</si>
  <si>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</si>
  <si>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</si>
  <si>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</si>
  <si>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</si>
  <si>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</si>
  <si>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</si>
  <si>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</si>
  <si>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</si>
  <si>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</si>
  <si>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</si>
  <si>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</si>
  <si>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</si>
  <si>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</si>
  <si>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</si>
  <si>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</si>
  <si>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</si>
  <si>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</si>
  <si>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</si>
  <si>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</si>
  <si>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</si>
  <si>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</si>
  <si>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</si>
  <si>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</si>
  <si>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</si>
  <si>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</si>
  <si>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</si>
  <si>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</si>
  <si>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</si>
  <si>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</si>
  <si>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</si>
  <si>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</si>
  <si>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</si>
  <si>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</si>
  <si>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</si>
  <si>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</si>
  <si>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</si>
  <si>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</si>
  <si>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</si>
  <si>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</si>
  <si>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</si>
  <si>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</si>
  <si>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</si>
  <si>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</si>
  <si>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</si>
  <si>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</si>
  <si>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</si>
  <si>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</si>
  <si>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</si>
  <si>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</si>
  <si>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</si>
  <si>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</si>
  <si>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</si>
  <si>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</si>
  <si>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</si>
  <si>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</si>
  <si>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</si>
  <si>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</si>
  <si>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</si>
  <si>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</si>
  <si>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</si>
  <si>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</si>
  <si>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</si>
  <si>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</si>
  <si>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</si>
  <si>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</si>
  <si>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</si>
  <si>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</si>
  <si>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</si>
  <si>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</si>
  <si>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</si>
  <si>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</si>
  <si>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</si>
  <si>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</si>
  <si>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</si>
  <si>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</si>
  <si>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</si>
  <si>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</si>
  <si>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</si>
  <si>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</si>
  <si>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</si>
  <si>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</si>
  <si>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</si>
  <si>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</si>
  <si>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</si>
  <si>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</si>
  <si>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</si>
  <si>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</si>
  <si>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</si>
  <si>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</si>
  <si>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</si>
  <si>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</si>
  <si>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</si>
  <si>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</si>
  <si>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</si>
  <si>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</si>
  <si>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</si>
  <si>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</si>
  <si>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</si>
  <si>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</si>
  <si>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</si>
  <si>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</si>
  <si>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</si>
  <si>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</si>
  <si>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</si>
  <si>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</si>
  <si>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</si>
  <si>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</si>
  <si>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</si>
  <si>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</si>
  <si>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</si>
  <si>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</si>
  <si>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</si>
  <si>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</si>
  <si>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</si>
  <si>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</si>
  <si>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</si>
  <si>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</si>
  <si>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</si>
  <si>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</si>
  <si>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</si>
  <si>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</si>
  <si>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</si>
  <si>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</si>
  <si>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</si>
  <si>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</si>
  <si>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</si>
  <si>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</si>
  <si>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</si>
  <si>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</si>
  <si>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</si>
  <si>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</si>
  <si>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</si>
  <si>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</si>
  <si>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</si>
  <si>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</si>
  <si>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</si>
  <si>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</si>
  <si>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</si>
  <si>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</si>
  <si>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</si>
  <si>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</si>
  <si>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</si>
  <si>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</si>
  <si>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</si>
  <si>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</si>
  <si>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</si>
  <si>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</si>
  <si>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</si>
  <si>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</si>
  <si>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</si>
  <si>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</si>
  <si>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</si>
  <si>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</si>
  <si>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</si>
  <si>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</si>
  <si>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</si>
  <si>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</si>
  <si>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</si>
  <si>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</si>
  <si>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</si>
  <si>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</si>
  <si>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</si>
  <si>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</si>
  <si>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</si>
  <si>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</si>
  <si>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</si>
  <si>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</si>
  <si>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</si>
  <si>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</si>
  <si>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</si>
  <si>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</si>
  <si>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</si>
  <si>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</si>
  <si>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</si>
  <si>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</si>
  <si>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</si>
  <si>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</si>
  <si>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</si>
  <si>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</si>
  <si>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</si>
  <si>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</si>
  <si>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</si>
  <si>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</si>
  <si>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</si>
  <si>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</si>
  <si>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</si>
  <si>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</si>
  <si>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</si>
  <si>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</si>
  <si>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</si>
  <si>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</si>
  <si>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</si>
  <si>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</si>
  <si>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</si>
  <si>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</si>
  <si>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</si>
  <si>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</si>
  <si>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</si>
  <si>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</si>
  <si>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</si>
  <si>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</si>
  <si>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</si>
  <si>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</si>
  <si>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</si>
  <si>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</si>
  <si>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</si>
  <si>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</si>
  <si>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</si>
  <si>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</si>
  <si>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</si>
  <si>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</si>
  <si>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</si>
  <si>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</si>
  <si>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</si>
  <si>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</si>
  <si>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</si>
  <si>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</si>
  <si>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</si>
  <si>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</si>
  <si>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</si>
  <si>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</si>
  <si>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</si>
  <si>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</si>
  <si>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</si>
  <si>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</si>
  <si>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</si>
  <si>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</si>
  <si>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</si>
  <si>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</si>
  <si>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</si>
  <si>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</si>
  <si>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</si>
  <si>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</si>
  <si>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</si>
  <si>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</si>
  <si>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</si>
  <si>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</si>
  <si>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</si>
  <si>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</si>
  <si>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</si>
  <si>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</si>
  <si>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</si>
  <si>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</si>
  <si>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</si>
  <si>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</si>
  <si>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</si>
  <si>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</si>
  <si>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</si>
  <si>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</si>
  <si>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</si>
  <si>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</si>
  <si>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</si>
  <si>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</si>
  <si>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</si>
  <si>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</si>
  <si>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</si>
  <si>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</si>
  <si>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</si>
  <si>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</si>
  <si>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</si>
  <si>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</si>
  <si>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</si>
  <si>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</si>
  <si>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</si>
  <si>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</si>
  <si>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</si>
  <si>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</si>
  <si>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</si>
  <si>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</si>
  <si>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</si>
  <si>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</si>
  <si>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</si>
  <si>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</si>
  <si>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</si>
  <si>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</si>
  <si>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</si>
  <si>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</si>
  <si>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</si>
  <si>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</si>
  <si>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</si>
  <si>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</si>
  <si>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</si>
  <si>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</si>
  <si>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</si>
  <si>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</si>
  <si>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</si>
  <si>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</si>
  <si>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</si>
  <si>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</si>
  <si>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</si>
  <si>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</si>
  <si>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</si>
  <si>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</si>
  <si>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</si>
  <si>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</si>
  <si>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</si>
  <si>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</si>
  <si>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</si>
  <si>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</si>
  <si>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</si>
  <si>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</si>
  <si>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</si>
  <si>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</si>
  <si>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</si>
  <si>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</si>
  <si>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</si>
  <si>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</si>
  <si>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</si>
  <si>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</si>
  <si>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</si>
  <si>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</si>
  <si>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</si>
  <si>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</si>
  <si>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</si>
  <si>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</si>
  <si>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</si>
  <si>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</si>
  <si>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</si>
  <si>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</si>
  <si>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</si>
  <si>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</si>
  <si>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</si>
  <si>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</si>
  <si>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</si>
  <si>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</si>
  <si>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</si>
  <si>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</si>
  <si>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</si>
  <si>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</si>
  <si>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</si>
  <si>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</si>
  <si>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</si>
  <si>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</si>
  <si>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</si>
  <si>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</si>
  <si>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</si>
  <si>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</si>
  <si>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</si>
  <si>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</si>
  <si>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</si>
  <si>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</si>
  <si>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</si>
  <si>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</si>
  <si>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</si>
  <si>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</si>
  <si>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</si>
  <si>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</si>
  <si>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</si>
  <si>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</si>
  <si>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</si>
  <si>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</si>
  <si>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</si>
  <si>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</si>
  <si>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</si>
  <si>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</si>
  <si>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</si>
  <si>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</si>
  <si>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</si>
  <si>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</si>
  <si>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</si>
  <si>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</si>
  <si>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</si>
  <si>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</si>
  <si>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</si>
  <si>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</si>
  <si>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</si>
  <si>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</si>
  <si>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</si>
  <si>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</si>
  <si>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</si>
  <si>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</si>
  <si>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</si>
  <si>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</si>
  <si>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</si>
  <si>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</si>
  <si>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</si>
  <si>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</si>
  <si>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</si>
  <si>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</si>
  <si>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</si>
  <si>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</si>
  <si>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</si>
  <si>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</si>
  <si>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</si>
  <si>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</si>
  <si>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</si>
  <si>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</si>
  <si>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</si>
  <si>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</si>
  <si>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</si>
  <si>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</si>
  <si>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</si>
  <si>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</si>
  <si>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</si>
  <si>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</si>
  <si>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</si>
  <si>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</si>
  <si>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</si>
  <si>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</si>
  <si>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</si>
  <si>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</si>
  <si>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</si>
  <si>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</si>
  <si>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</si>
  <si>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</si>
  <si>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</si>
  <si>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</si>
  <si>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</si>
  <si>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</si>
  <si>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</si>
  <si>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</si>
  <si>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</si>
  <si>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</si>
  <si>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</si>
  <si>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</si>
  <si>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</si>
  <si>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</si>
  <si>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</si>
  <si>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</si>
  <si>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</si>
  <si>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</si>
  <si>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</si>
  <si>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</si>
  <si>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</si>
  <si>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</si>
  <si>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</si>
  <si>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</si>
  <si>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</si>
  <si>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</si>
  <si>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</si>
  <si>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</si>
  <si>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</si>
  <si>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</si>
  <si>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</si>
  <si>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</si>
  <si>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</si>
  <si>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</si>
  <si>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</si>
  <si>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</si>
  <si>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</si>
  <si>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</si>
  <si>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</si>
  <si>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</si>
  <si>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</si>
  <si>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</si>
  <si>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</si>
  <si>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</si>
  <si>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</si>
  <si>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Bühl GmbH</t>
  </si>
  <si>
    <t>9870026200004</t>
  </si>
  <si>
    <t>Siemensstr. 5</t>
  </si>
  <si>
    <t>Bühl</t>
  </si>
  <si>
    <t>Dieter Seifermann</t>
  </si>
  <si>
    <t>netznutzung@stadtwerke-buehl.de</t>
  </si>
  <si>
    <t>0049-7223-946-115</t>
  </si>
  <si>
    <t>THE0NKH700262000</t>
  </si>
  <si>
    <t>DTN</t>
  </si>
  <si>
    <t>Bühl/Baden</t>
  </si>
  <si>
    <t>DE_GMK04</t>
  </si>
  <si>
    <t>DE_GHA04</t>
  </si>
  <si>
    <t>DE_GKO04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</si>
</sst>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5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Euro 2 2" xfId="154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2 3" xfId="153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12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500</v>
      </c>
      <c r="D4" s="27">
        <v>44654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501</v>
      </c>
      <c r="D6" s="27">
        <v>44713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0" t="s">
        <v>658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260</v>
      </c>
      <c r="D13" s="351" t="s">
        <v>659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261</v>
      </c>
      <c r="D15" s="352">
        <v>77815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262</v>
      </c>
      <c r="D17" s="353" t="s">
        <v>660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263</v>
      </c>
      <c r="D19" s="354" t="s">
        <v>661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264</v>
      </c>
      <c r="D21" s="355" t="s">
        <v>662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265</v>
      </c>
      <c r="D23" s="356" t="s">
        <v>663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357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4" t="s">
        <v>499</v>
      </c>
      <c r="D28" s="46" t="str">
        <f>IF(D27&lt;&gt;C28,VLOOKUP(D27,$C$29:$D$48,2,FALSE),C28)</f>
        <v>Bühl</v>
      </c>
      <c r="E28" s="38"/>
      <c r="F28" s="11"/>
      <c r="G28" s="2"/>
    </row>
    <row r="29" spans="1:15">
      <c r="B29" s="15"/>
      <c r="C29" s="22" t="s">
        <v>393</v>
      </c>
      <c r="D29" s="358" t="s">
        <v>660</v>
      </c>
      <c r="E29" s="40"/>
      <c r="F29" s="11"/>
      <c r="G29" s="2"/>
    </row>
    <row r="30" spans="1:15">
      <c r="B30" s="15"/>
      <c r="C30" s="22" t="s">
        <v>394</v>
      </c>
      <c r="D30" s="43"/>
      <c r="E30" s="40"/>
      <c r="F30" s="45"/>
      <c r="G30" s="2"/>
    </row>
    <row r="31" spans="1:15">
      <c r="B31" s="15"/>
      <c r="C31" s="22" t="s">
        <v>419</v>
      </c>
      <c r="D31" s="44"/>
      <c r="E31" s="40"/>
      <c r="F31" s="45"/>
      <c r="G31" s="2"/>
    </row>
    <row r="32" spans="1:15">
      <c r="B32" s="15"/>
      <c r="C32" s="22" t="s">
        <v>420</v>
      </c>
      <c r="D32" s="44"/>
      <c r="E32" s="40"/>
      <c r="F32" s="45"/>
      <c r="G32" s="2"/>
    </row>
    <row r="33" spans="2:7">
      <c r="B33" s="15"/>
      <c r="C33" s="22" t="s">
        <v>421</v>
      </c>
      <c r="D33" s="43"/>
      <c r="E33" s="40"/>
      <c r="F33" s="45"/>
      <c r="G33" s="2"/>
    </row>
    <row r="34" spans="2:7">
      <c r="B34" s="15"/>
      <c r="C34" s="22" t="s">
        <v>422</v>
      </c>
      <c r="D34" s="44"/>
      <c r="E34" s="40"/>
      <c r="F34" s="45"/>
      <c r="G34" s="2"/>
    </row>
    <row r="35" spans="2:7">
      <c r="B35" s="15"/>
      <c r="C35" s="22" t="s">
        <v>423</v>
      </c>
      <c r="D35" s="44"/>
      <c r="E35" s="40"/>
      <c r="F35" s="45"/>
      <c r="G35" s="2"/>
    </row>
    <row r="36" spans="2:7">
      <c r="B36" s="15"/>
      <c r="C36" s="22" t="s">
        <v>424</v>
      </c>
      <c r="D36" s="44"/>
      <c r="E36" s="40"/>
      <c r="F36" s="45"/>
      <c r="G36" s="2"/>
    </row>
    <row r="37" spans="2:7">
      <c r="B37" s="15"/>
      <c r="C37" s="22" t="s">
        <v>425</v>
      </c>
      <c r="D37" s="44"/>
      <c r="E37" s="40"/>
      <c r="F37" s="45"/>
      <c r="G37" s="2"/>
    </row>
    <row r="38" spans="2:7">
      <c r="B38" s="15"/>
      <c r="C38" s="22" t="s">
        <v>428</v>
      </c>
      <c r="D38" s="44"/>
      <c r="E38" s="40"/>
      <c r="F38" s="45"/>
      <c r="G38" s="2"/>
    </row>
    <row r="39" spans="2:7">
      <c r="B39" s="15"/>
      <c r="C39" s="22" t="s">
        <v>429</v>
      </c>
      <c r="D39" s="44"/>
      <c r="E39" s="40"/>
      <c r="F39" s="45"/>
      <c r="G39" s="2"/>
    </row>
    <row r="40" spans="2:7">
      <c r="B40" s="15"/>
      <c r="C40" s="22" t="s">
        <v>430</v>
      </c>
      <c r="D40" s="44"/>
      <c r="E40" s="40"/>
      <c r="F40" s="45"/>
      <c r="G40" s="2"/>
    </row>
    <row r="41" spans="2:7">
      <c r="B41" s="15"/>
      <c r="C41" s="22" t="s">
        <v>431</v>
      </c>
      <c r="D41" s="44"/>
      <c r="E41" s="40"/>
      <c r="F41" s="45"/>
      <c r="G41" s="2"/>
    </row>
    <row r="42" spans="2:7">
      <c r="B42" s="15"/>
      <c r="C42" s="22" t="s">
        <v>432</v>
      </c>
      <c r="D42" s="44"/>
      <c r="E42" s="40"/>
      <c r="F42" s="45"/>
      <c r="G42" s="2"/>
    </row>
    <row r="43" spans="2:7">
      <c r="B43" s="15"/>
      <c r="C43" s="22" t="s">
        <v>433</v>
      </c>
      <c r="D43" s="44"/>
      <c r="E43" s="40"/>
      <c r="F43" s="45"/>
      <c r="G43" s="2"/>
    </row>
    <row r="44" spans="2:7">
      <c r="B44" s="15"/>
      <c r="C44" s="22" t="s">
        <v>434</v>
      </c>
      <c r="D44" s="44"/>
      <c r="E44" s="40"/>
      <c r="F44" s="45"/>
      <c r="G44" s="2"/>
    </row>
    <row r="45" spans="2:7">
      <c r="B45" s="15"/>
      <c r="C45" s="22" t="s">
        <v>435</v>
      </c>
      <c r="D45" s="44"/>
      <c r="E45" s="40"/>
      <c r="F45" s="45"/>
      <c r="G45" s="2"/>
    </row>
    <row r="46" spans="2:7">
      <c r="B46" s="15"/>
      <c r="C46" s="22" t="s">
        <v>436</v>
      </c>
      <c r="D46" s="44"/>
      <c r="E46" s="40"/>
      <c r="F46" s="45"/>
    </row>
    <row r="47" spans="2:7">
      <c r="B47" s="15"/>
      <c r="C47" s="22" t="s">
        <v>437</v>
      </c>
      <c r="D47" s="44"/>
      <c r="E47" s="40"/>
      <c r="F47" s="45"/>
    </row>
    <row r="48" spans="2:7">
      <c r="B48" s="15"/>
      <c r="C48" s="22" t="s">
        <v>438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ignoredErrors>
    <ignoredError sqref="D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16" zoomScale="80" zoomScaleNormal="80" workbookViewId="0">
      <selection activeCell="E36" sqref="E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442</v>
      </c>
      <c r="D5" s="56" t="str">
        <f>Netzbetreiber!$D$9</f>
        <v>Stadtwerke Bühl GmbH</v>
      </c>
      <c r="H5" s="66"/>
      <c r="I5" s="66"/>
      <c r="J5" s="66"/>
      <c r="K5" s="66"/>
    </row>
    <row r="6" spans="2:15" ht="15" customHeight="1">
      <c r="B6" s="22"/>
      <c r="C6" s="60" t="s">
        <v>441</v>
      </c>
      <c r="D6" s="56" t="str">
        <f>Netzbetreiber!D28</f>
        <v>Bühl</v>
      </c>
      <c r="E6" s="15"/>
      <c r="H6" s="66"/>
      <c r="I6" s="66"/>
      <c r="J6" s="66"/>
      <c r="K6" s="66"/>
    </row>
    <row r="7" spans="2:15" ht="15" customHeight="1">
      <c r="B7" s="22"/>
      <c r="C7" s="58" t="s">
        <v>485</v>
      </c>
      <c r="D7" s="59" t="str">
        <f>Netzbetreiber!$D$11</f>
        <v>9870026200004</v>
      </c>
      <c r="E7" s="15"/>
      <c r="H7" s="66"/>
      <c r="I7" s="66"/>
      <c r="J7" s="66"/>
      <c r="K7" s="66"/>
    </row>
    <row r="8" spans="2:15" ht="15" customHeight="1">
      <c r="B8" s="22"/>
      <c r="C8" s="54" t="s">
        <v>133</v>
      </c>
      <c r="D8" s="48">
        <f>Netzbetreiber!$D$6</f>
        <v>44713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5" t="s">
        <v>616</v>
      </c>
      <c r="I11" s="275" t="s">
        <v>617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653</v>
      </c>
      <c r="D13" s="42" t="s">
        <v>664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83</v>
      </c>
      <c r="C15" s="31" t="s">
        <v>366</v>
      </c>
      <c r="D15" s="47" t="s">
        <v>257</v>
      </c>
      <c r="E15" s="15"/>
      <c r="H15" s="273" t="s">
        <v>257</v>
      </c>
      <c r="I15" s="273" t="s">
        <v>135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575</v>
      </c>
      <c r="I16" s="274" t="s">
        <v>486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4" t="s">
        <v>487</v>
      </c>
      <c r="I17" s="274" t="s">
        <v>488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84</v>
      </c>
      <c r="C19" s="8" t="s">
        <v>613</v>
      </c>
      <c r="D19" s="47" t="s">
        <v>609</v>
      </c>
      <c r="E19" s="15"/>
      <c r="H19" s="271" t="s">
        <v>609</v>
      </c>
      <c r="I19" s="271" t="s">
        <v>610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7" t="s">
        <v>611</v>
      </c>
      <c r="E20" s="15"/>
      <c r="H20" s="271" t="s">
        <v>612</v>
      </c>
      <c r="I20" s="8" t="s">
        <v>608</v>
      </c>
      <c r="J20" s="8"/>
      <c r="K20" s="8"/>
      <c r="L20" s="272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1" t="s">
        <v>611</v>
      </c>
      <c r="I21" s="271" t="s">
        <v>618</v>
      </c>
      <c r="J21" s="8"/>
      <c r="K21" s="8"/>
      <c r="L21" s="274" t="s">
        <v>619</v>
      </c>
      <c r="M21" s="274" t="s">
        <v>621</v>
      </c>
      <c r="N21" s="274" t="s">
        <v>620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3" t="s">
        <v>134</v>
      </c>
      <c r="I23" s="273" t="s">
        <v>136</v>
      </c>
      <c r="J23" s="271"/>
      <c r="K23" s="271"/>
      <c r="L23" s="272"/>
    </row>
    <row r="24" spans="2:16" ht="15" customHeight="1">
      <c r="B24" s="7"/>
      <c r="C24" s="6" t="s">
        <v>622</v>
      </c>
      <c r="D24" s="42" t="s">
        <v>623</v>
      </c>
      <c r="E24" s="15"/>
      <c r="H24" s="307" t="s">
        <v>623</v>
      </c>
      <c r="I24" s="273" t="s">
        <v>624</v>
      </c>
      <c r="J24" s="273" t="s">
        <v>625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626</v>
      </c>
      <c r="I25" s="274" t="s">
        <v>627</v>
      </c>
      <c r="J25" s="274" t="s">
        <v>628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629</v>
      </c>
      <c r="I26" s="274" t="s">
        <v>630</v>
      </c>
      <c r="J26" s="274" t="s">
        <v>631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3" t="s">
        <v>134</v>
      </c>
      <c r="I28" s="273" t="s">
        <v>136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4" t="s">
        <v>632</v>
      </c>
      <c r="I29" s="274" t="s">
        <v>633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4" t="s">
        <v>634</v>
      </c>
      <c r="I30" s="271" t="s">
        <v>629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491</v>
      </c>
      <c r="C32" s="24" t="s">
        <v>493</v>
      </c>
      <c r="D32" s="267">
        <v>6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1"/>
      <c r="J34" s="271"/>
      <c r="K34" s="271"/>
      <c r="L34" s="271"/>
      <c r="M34" s="272"/>
    </row>
    <row r="35" spans="2:39" customFormat="1" ht="15" customHeight="1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6"/>
      <c r="I37" s="66"/>
      <c r="J37" s="66"/>
      <c r="K37" s="66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3" t="s">
        <v>660</v>
      </c>
    </row>
    <row r="46" spans="2:39" ht="18" customHeight="1">
      <c r="C46" s="22" t="s">
        <v>587</v>
      </c>
      <c r="D46" s="43"/>
    </row>
    <row r="47" spans="2:39" ht="18" customHeight="1">
      <c r="C47" s="22" t="s">
        <v>588</v>
      </c>
      <c r="D47" s="43"/>
    </row>
    <row r="48" spans="2:39" ht="18" customHeight="1">
      <c r="C48" s="22" t="s">
        <v>589</v>
      </c>
      <c r="D48" s="43"/>
    </row>
    <row r="49" spans="3:4" ht="18" customHeight="1">
      <c r="C49" s="22" t="s">
        <v>590</v>
      </c>
      <c r="D49" s="43"/>
    </row>
    <row r="50" spans="3:4" ht="18" customHeight="1">
      <c r="C50" s="22" t="s">
        <v>591</v>
      </c>
      <c r="D50" s="43"/>
    </row>
    <row r="51" spans="3:4" ht="18" customHeight="1">
      <c r="C51" s="22" t="s">
        <v>592</v>
      </c>
      <c r="D51" s="43"/>
    </row>
    <row r="52" spans="3:4" ht="18" customHeight="1">
      <c r="C52" s="22" t="s">
        <v>593</v>
      </c>
      <c r="D52" s="43"/>
    </row>
    <row r="53" spans="3:4" ht="18" customHeight="1">
      <c r="C53" s="22" t="s">
        <v>594</v>
      </c>
      <c r="D53" s="43"/>
    </row>
    <row r="54" spans="3:4" ht="18" customHeight="1">
      <c r="C54" s="22" t="s">
        <v>595</v>
      </c>
      <c r="D54" s="43"/>
    </row>
    <row r="55" spans="3:4" ht="18" customHeight="1">
      <c r="C55" s="22" t="s">
        <v>596</v>
      </c>
      <c r="D55" s="43"/>
    </row>
    <row r="56" spans="3:4" ht="18" customHeight="1">
      <c r="C56" s="22" t="s">
        <v>597</v>
      </c>
      <c r="D56" s="43"/>
    </row>
    <row r="57" spans="3:4" ht="18" customHeight="1">
      <c r="C57" s="22" t="s">
        <v>598</v>
      </c>
      <c r="D57" s="43"/>
    </row>
    <row r="58" spans="3:4" ht="18" customHeight="1">
      <c r="C58" s="22" t="s">
        <v>599</v>
      </c>
      <c r="D58" s="43"/>
    </row>
    <row r="59" spans="3:4" ht="18" customHeight="1">
      <c r="C59" s="22" t="s">
        <v>600</v>
      </c>
      <c r="D59" s="43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abSelected="1" topLeftCell="A28" zoomScaleNormal="100" workbookViewId="0">
      <selection activeCell="E27" sqref="E27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22" style="127" customWidth="1"/>
    <col min="6" max="14" width="12.7109375" style="127" customWidth="1"/>
    <col min="15" max="15" width="34.140625" style="127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Bühl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1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 t="str">
        <f>INDEX('SLP-Verfahren'!D45:D59,'SLP-Temp-Gebiet #01'!F10)</f>
        <v>Bühl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63" t="s">
        <v>584</v>
      </c>
      <c r="D13" s="363"/>
      <c r="E13" s="363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64" t="s">
        <v>445</v>
      </c>
      <c r="D14" s="364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64" t="s">
        <v>385</v>
      </c>
      <c r="D15" s="364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665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>
      <c r="B17" s="175" t="s">
        <v>517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>
      <c r="B18" s="129"/>
      <c r="C18" s="54" t="s">
        <v>523</v>
      </c>
      <c r="D18" s="129"/>
      <c r="E18" s="129"/>
      <c r="F18" s="47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82"/>
      <c r="C21" s="183" t="s">
        <v>525</v>
      </c>
      <c r="D21" s="152" t="s">
        <v>515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82"/>
      <c r="C22" s="183" t="s">
        <v>537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82"/>
      <c r="C23" s="186" t="s">
        <v>137</v>
      </c>
      <c r="D23" s="187"/>
      <c r="E23" s="155" t="s">
        <v>665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DTN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82"/>
      <c r="C24" s="186" t="s">
        <v>520</v>
      </c>
      <c r="D24" s="187"/>
      <c r="E24" s="359" t="s">
        <v>666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82"/>
      <c r="C25" s="186" t="s">
        <v>514</v>
      </c>
      <c r="D25" s="187"/>
      <c r="E25" s="360">
        <v>6510808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82"/>
      <c r="C26" s="186" t="s">
        <v>141</v>
      </c>
      <c r="D26" s="187"/>
      <c r="E26" s="155" t="s">
        <v>656</v>
      </c>
      <c r="F26" s="155" t="s">
        <v>503</v>
      </c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6"/>
      <c r="C27" s="347" t="s">
        <v>654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>98700262000046510808A</v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143</v>
      </c>
      <c r="P27" s="13"/>
      <c r="Q27" s="210"/>
      <c r="R27" s="208" t="s">
        <v>503</v>
      </c>
      <c r="S27" s="208" t="s">
        <v>504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519</v>
      </c>
      <c r="D29" s="129"/>
      <c r="E29" s="129"/>
      <c r="F29" s="47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82"/>
      <c r="C32" s="183" t="s">
        <v>526</v>
      </c>
      <c r="D32" s="185" t="s">
        <v>255</v>
      </c>
      <c r="E32" s="286">
        <f>1-SUMPRODUCT(F30:N30,F32:N32)</f>
        <v>1</v>
      </c>
      <c r="F32" s="286">
        <f>ROUND(F33/$D$33,4)</f>
        <v>0.5</v>
      </c>
      <c r="G32" s="286">
        <f t="shared" ref="G32:N32" si="3">ROUND(G33/$D$33,4)</f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3" t="s">
        <v>533</v>
      </c>
      <c r="D33" s="292">
        <f>SUMPRODUCT(E33:N33,E30:N30)</f>
        <v>1</v>
      </c>
      <c r="E33" s="287">
        <v>1</v>
      </c>
      <c r="F33" s="287">
        <v>0.5</v>
      </c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145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82"/>
      <c r="C34" s="186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4" t="s">
        <v>142</v>
      </c>
      <c r="Q34" s="210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>
      <c r="B35" s="182"/>
      <c r="C35" s="186" t="s">
        <v>448</v>
      </c>
      <c r="D35" s="152" t="s">
        <v>447</v>
      </c>
      <c r="E35" s="155" t="s">
        <v>512</v>
      </c>
      <c r="F35" s="155" t="s">
        <v>511</v>
      </c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4" t="s">
        <v>142</v>
      </c>
      <c r="Q35" s="210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86" t="s">
        <v>605</v>
      </c>
      <c r="D36" s="152" t="s">
        <v>606</v>
      </c>
      <c r="E36" s="155" t="s">
        <v>604</v>
      </c>
      <c r="F36" s="155" t="s">
        <v>604</v>
      </c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4" t="s">
        <v>142</v>
      </c>
      <c r="Q36" s="210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82"/>
      <c r="C37" s="191" t="s">
        <v>440</v>
      </c>
      <c r="D37" s="118" t="s">
        <v>538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4" t="s">
        <v>142</v>
      </c>
      <c r="Q37" s="210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536</v>
      </c>
      <c r="D47" s="200" t="s">
        <v>534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>
      <c r="B48" s="192"/>
      <c r="C48" s="199" t="s">
        <v>346</v>
      </c>
      <c r="D48" s="200" t="s">
        <v>534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360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75">
      <c r="B51" s="175" t="s">
        <v>579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>
      <c r="B53" s="129"/>
      <c r="C53" s="54" t="s">
        <v>543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>
      <c r="B55" s="129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6"/>
      <c r="X55" s="66"/>
      <c r="Y55" s="66"/>
      <c r="Z55" s="66"/>
      <c r="AA55" s="66"/>
      <c r="AB55" s="66"/>
    </row>
    <row r="56" spans="2:28">
      <c r="B56" s="182"/>
      <c r="C56" s="183" t="s">
        <v>525</v>
      </c>
      <c r="D56" s="152" t="s">
        <v>515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>
      <c r="B57" s="182"/>
      <c r="C57" s="183" t="s">
        <v>537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145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137</v>
      </c>
      <c r="D58" s="187"/>
      <c r="E58" s="155" t="str">
        <f>E23</f>
        <v>DTN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142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520</v>
      </c>
      <c r="D59" s="187"/>
      <c r="E59" s="155" t="str">
        <f>E24</f>
        <v>Bühl/Baden</v>
      </c>
      <c r="F59" s="155" t="str">
        <f t="shared" ref="F59:N59" si="8">F24</f>
        <v>DEF-St.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521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514</v>
      </c>
      <c r="D60" s="187"/>
      <c r="E60" s="159">
        <f>E25</f>
        <v>6510808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>
      <c r="B61" s="182"/>
      <c r="C61" s="186" t="s">
        <v>141</v>
      </c>
      <c r="D61" s="187"/>
      <c r="E61" s="157" t="s">
        <v>503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142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519</v>
      </c>
      <c r="D63" s="129"/>
      <c r="E63" s="129"/>
      <c r="F63" s="156">
        <f>F29</f>
        <v>1</v>
      </c>
    </row>
    <row r="64" spans="2:28" ht="15" customHeight="1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29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>
      <c r="B66" s="182"/>
      <c r="C66" s="183" t="s">
        <v>526</v>
      </c>
      <c r="D66" s="185" t="s">
        <v>255</v>
      </c>
      <c r="E66" s="286">
        <f>1-SUMPRODUCT(F64:N64,F66:N66)</f>
        <v>1</v>
      </c>
      <c r="F66" s="286">
        <f>ROUND(F67/$D$67,4)</f>
        <v>0.5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533</v>
      </c>
      <c r="D67" s="185">
        <f>SUMPRODUCT(E67:N67,E64:N64)</f>
        <v>1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145</v>
      </c>
    </row>
    <row r="68" spans="2:15">
      <c r="B68" s="182"/>
      <c r="C68" s="186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142</v>
      </c>
    </row>
    <row r="69" spans="2:15">
      <c r="B69" s="182"/>
      <c r="C69" s="186" t="s">
        <v>448</v>
      </c>
      <c r="D69" s="152" t="s">
        <v>447</v>
      </c>
      <c r="E69" s="158" t="str">
        <f>E35</f>
        <v>Kalendertag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142</v>
      </c>
    </row>
    <row r="70" spans="2:15">
      <c r="B70" s="182"/>
      <c r="C70" s="186" t="s">
        <v>605</v>
      </c>
      <c r="D70" s="152" t="s">
        <v>606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142</v>
      </c>
    </row>
    <row r="71" spans="2:15">
      <c r="B71" s="182"/>
      <c r="C71" s="191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142</v>
      </c>
    </row>
    <row r="72" spans="2:15"/>
    <row r="73" spans="2:15" ht="15.75" customHeight="1">
      <c r="C73" s="365" t="s">
        <v>580</v>
      </c>
      <c r="D73" s="365"/>
      <c r="E73" s="365"/>
      <c r="F73" s="365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4 E70:N70 F35:N3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Bühl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2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63" t="s">
        <v>584</v>
      </c>
      <c r="D13" s="363"/>
      <c r="E13" s="363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64" t="s">
        <v>445</v>
      </c>
      <c r="D14" s="364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64" t="s">
        <v>385</v>
      </c>
      <c r="D15" s="364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517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>
      <c r="B18" s="129"/>
      <c r="C18" s="54" t="s">
        <v>523</v>
      </c>
      <c r="D18" s="129"/>
      <c r="E18" s="129"/>
      <c r="F18" s="47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2"/>
      <c r="C21" s="183" t="s">
        <v>525</v>
      </c>
      <c r="D21" s="152" t="s">
        <v>515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2"/>
      <c r="C22" s="183" t="s">
        <v>537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2"/>
      <c r="C24" s="186" t="s">
        <v>520</v>
      </c>
      <c r="D24" s="187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2"/>
      <c r="C25" s="186" t="s">
        <v>514</v>
      </c>
      <c r="D25" s="187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2"/>
      <c r="C26" s="186" t="s">
        <v>141</v>
      </c>
      <c r="D26" s="187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4" t="s">
        <v>142</v>
      </c>
      <c r="Q26" s="210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4" t="s">
        <v>519</v>
      </c>
      <c r="D28" s="129"/>
      <c r="E28" s="129"/>
      <c r="F28" s="47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2"/>
      <c r="C31" s="183" t="s">
        <v>526</v>
      </c>
      <c r="D31" s="185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2"/>
      <c r="C32" s="183" t="s">
        <v>533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145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6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4" t="s">
        <v>142</v>
      </c>
      <c r="Q33" s="210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>
      <c r="B34" s="182"/>
      <c r="C34" s="186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4" t="s">
        <v>142</v>
      </c>
      <c r="Q34" s="210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2"/>
      <c r="C35" s="186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4" t="s">
        <v>142</v>
      </c>
      <c r="Q35" s="210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91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4" t="s">
        <v>142</v>
      </c>
      <c r="Q36" s="210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360</v>
      </c>
      <c r="K46" s="197"/>
      <c r="L46" s="197"/>
      <c r="M46" s="197"/>
      <c r="N46" s="197"/>
      <c r="O46" s="198"/>
    </row>
    <row r="47" spans="2:28">
      <c r="B47" s="192"/>
      <c r="C47" s="199" t="s">
        <v>346</v>
      </c>
      <c r="D47" s="200" t="s">
        <v>534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5" t="s">
        <v>579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>
      <c r="B52" s="129"/>
      <c r="C52" s="54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6"/>
      <c r="X54" s="66"/>
      <c r="Y54" s="66"/>
      <c r="Z54" s="66"/>
      <c r="AA54" s="66"/>
      <c r="AB54" s="66"/>
    </row>
    <row r="55" spans="2:28">
      <c r="B55" s="182"/>
      <c r="C55" s="183" t="s">
        <v>525</v>
      </c>
      <c r="D55" s="152" t="s">
        <v>515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>
      <c r="B56" s="182"/>
      <c r="C56" s="183" t="s">
        <v>537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145</v>
      </c>
      <c r="W56" s="66"/>
      <c r="X56" s="66"/>
      <c r="Y56" s="66"/>
      <c r="Z56" s="66"/>
      <c r="AA56" s="66"/>
      <c r="AB56" s="66"/>
    </row>
    <row r="57" spans="2:28">
      <c r="B57" s="182"/>
      <c r="C57" s="186" t="s">
        <v>137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142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520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521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514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143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141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4" t="s">
        <v>519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29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526</v>
      </c>
      <c r="D65" s="185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145</v>
      </c>
    </row>
    <row r="67" spans="2:15">
      <c r="B67" s="182"/>
      <c r="C67" s="186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142</v>
      </c>
    </row>
    <row r="68" spans="2:15">
      <c r="B68" s="182"/>
      <c r="C68" s="186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142</v>
      </c>
    </row>
    <row r="69" spans="2:15">
      <c r="B69" s="182"/>
      <c r="C69" s="186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142</v>
      </c>
    </row>
    <row r="70" spans="2:15">
      <c r="B70" s="182"/>
      <c r="C70" s="191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142</v>
      </c>
    </row>
    <row r="71" spans="2:15"/>
    <row r="72" spans="2:15" ht="15.75" customHeight="1">
      <c r="C72" s="365" t="s">
        <v>580</v>
      </c>
      <c r="D72" s="365"/>
      <c r="E72" s="365"/>
      <c r="F72" s="36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Q27" sqref="Q27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362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367</v>
      </c>
      <c r="D5" s="52" t="str">
        <f>Netzbetreiber!$D$9</f>
        <v>Stadtwerke Bühl GmbH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334</v>
      </c>
      <c r="D6" s="52" t="str">
        <f>Netzbetreiber!$D$28</f>
        <v>Bühl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485</v>
      </c>
      <c r="D7" s="52" t="str">
        <f>Netzbetreiber!$D$11</f>
        <v>9870026200004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133</v>
      </c>
      <c r="D8" s="50">
        <f>Netzbetreiber!$D$6</f>
        <v>44713</v>
      </c>
      <c r="E8" s="129"/>
      <c r="F8" s="129"/>
      <c r="H8" s="127" t="s">
        <v>493</v>
      </c>
      <c r="J8" s="131"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249</v>
      </c>
      <c r="C10" s="134" t="s">
        <v>492</v>
      </c>
      <c r="D10" s="133" t="s">
        <v>147</v>
      </c>
      <c r="E10" s="276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304" t="s">
        <v>648</v>
      </c>
    </row>
    <row r="11" spans="2:26" ht="15.75" thickBot="1">
      <c r="B11" s="138" t="s">
        <v>494</v>
      </c>
      <c r="C11" s="139" t="s">
        <v>509</v>
      </c>
      <c r="D11" s="303" t="s">
        <v>248</v>
      </c>
      <c r="E11" s="163" t="s">
        <v>516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0">
        <v>1</v>
      </c>
      <c r="C12" s="141" t="str">
        <f t="shared" ref="C12:C17" si="0">$D$6</f>
        <v>Bühl</v>
      </c>
      <c r="D12" s="61" t="s">
        <v>248</v>
      </c>
      <c r="E12" s="361" t="s">
        <v>38</v>
      </c>
      <c r="F12" s="306" t="s">
        <v>302</v>
      </c>
      <c r="H12" s="277">
        <v>3.1764404000000002</v>
      </c>
      <c r="I12" s="277">
        <v>-37.410583199999998</v>
      </c>
      <c r="J12" s="277">
        <v>6.1622336000000004</v>
      </c>
      <c r="K12" s="277">
        <v>7.5937699999999997E-2</v>
      </c>
      <c r="L12" s="278">
        <v>40</v>
      </c>
      <c r="M12" s="277">
        <v>0</v>
      </c>
      <c r="N12" s="277">
        <v>0</v>
      </c>
      <c r="O12" s="277">
        <v>0</v>
      </c>
      <c r="P12" s="277">
        <v>0</v>
      </c>
      <c r="Q12" s="279">
        <v>0.95374000000000003</v>
      </c>
      <c r="R12" s="280">
        <f>ROUND(VLOOKUP(MID($E12,4,3),'Wochentag F(WT)'!$B$7:$J$22,R$9,0),4)</f>
        <v>1</v>
      </c>
      <c r="S12" s="280">
        <f>ROUND(VLOOKUP(MID($E12,4,3),'Wochentag F(WT)'!$B$7:$J$22,S$9,0),4)</f>
        <v>1</v>
      </c>
      <c r="T12" s="280">
        <f>ROUND(VLOOKUP(MID($E12,4,3),'Wochentag F(WT)'!$B$7:$J$22,T$9,0),4)</f>
        <v>1</v>
      </c>
      <c r="U12" s="280">
        <f>ROUND(VLOOKUP(MID($E12,4,3),'Wochentag F(WT)'!$B$7:$J$22,U$9,0),4)</f>
        <v>1</v>
      </c>
      <c r="V12" s="280">
        <f>ROUND(VLOOKUP(MID($E12,4,3),'Wochentag F(WT)'!$B$7:$J$22,V$9,0),4)</f>
        <v>1</v>
      </c>
      <c r="W12" s="280">
        <f>ROUND(VLOOKUP(MID($E12,4,3),'Wochentag F(WT)'!$B$7:$J$22,W$9,0),4)</f>
        <v>1</v>
      </c>
      <c r="X12" s="281">
        <f>7-SUM(R12:W12)</f>
        <v>1</v>
      </c>
      <c r="Y12" s="302"/>
      <c r="Z12" s="211"/>
    </row>
    <row r="13" spans="2:26" s="142" customFormat="1">
      <c r="B13" s="143">
        <v>2</v>
      </c>
      <c r="C13" s="144" t="str">
        <f t="shared" si="0"/>
        <v>Bühl</v>
      </c>
      <c r="D13" s="61" t="s">
        <v>248</v>
      </c>
      <c r="E13" s="362" t="s">
        <v>46</v>
      </c>
      <c r="F13" s="306" t="s">
        <v>310</v>
      </c>
      <c r="H13" s="277">
        <v>2.5078170000000002</v>
      </c>
      <c r="I13" s="277">
        <v>-35.036736300000001</v>
      </c>
      <c r="J13" s="277">
        <v>6.2430158999999996</v>
      </c>
      <c r="K13" s="277">
        <v>0.1025195</v>
      </c>
      <c r="L13" s="278">
        <v>40</v>
      </c>
      <c r="M13" s="277">
        <v>0</v>
      </c>
      <c r="N13" s="277">
        <v>0</v>
      </c>
      <c r="O13" s="277">
        <v>0</v>
      </c>
      <c r="P13" s="277">
        <v>0</v>
      </c>
      <c r="Q13" s="279">
        <v>1.01075</v>
      </c>
      <c r="R13" s="280">
        <f>ROUND(VLOOKUP(MID($E13,4,3),'Wochentag F(WT)'!$B$7:$J$22,R$9,0),4)</f>
        <v>1</v>
      </c>
      <c r="S13" s="280">
        <f>ROUND(VLOOKUP(MID($E13,4,3),'Wochentag F(WT)'!$B$7:$J$22,S$9,0),4)</f>
        <v>1</v>
      </c>
      <c r="T13" s="280">
        <f>ROUND(VLOOKUP(MID($E13,4,3),'Wochentag F(WT)'!$B$7:$J$22,T$9,0),4)</f>
        <v>1</v>
      </c>
      <c r="U13" s="280">
        <f>ROUND(VLOOKUP(MID($E13,4,3),'Wochentag F(WT)'!$B$7:$J$22,U$9,0),4)</f>
        <v>1</v>
      </c>
      <c r="V13" s="280">
        <f>ROUND(VLOOKUP(MID($E13,4,3),'Wochentag F(WT)'!$B$7:$J$22,V$9,0),4)</f>
        <v>1</v>
      </c>
      <c r="W13" s="280">
        <f>ROUND(VLOOKUP(MID($E13,4,3),'Wochentag F(WT)'!$B$7:$J$22,W$9,0),4)</f>
        <v>1</v>
      </c>
      <c r="X13" s="281">
        <f t="shared" ref="X13:X17" si="1">7-SUM(R13:W13)</f>
        <v>1</v>
      </c>
      <c r="Y13" s="302"/>
      <c r="Z13" s="211"/>
    </row>
    <row r="14" spans="2:26" s="142" customFormat="1">
      <c r="B14" s="143">
        <v>3</v>
      </c>
      <c r="C14" s="144" t="str">
        <f t="shared" si="0"/>
        <v>Bühl</v>
      </c>
      <c r="D14" s="61" t="s">
        <v>248</v>
      </c>
      <c r="E14" s="164" t="s">
        <v>4</v>
      </c>
      <c r="F14" s="306" t="str">
        <f>VLOOKUP($E14,'BDEW-Standard'!$B$3:$M$94,F$9,0)</f>
        <v>HK3</v>
      </c>
      <c r="H14" s="277">
        <f>ROUND(VLOOKUP($E14,'BDEW-Standard'!$B$3:$M$94,H$9,0),7)</f>
        <v>0.40409319999999999</v>
      </c>
      <c r="I14" s="277">
        <f>ROUND(VLOOKUP($E14,'BDEW-Standard'!$B$3:$M$94,I$9,0),7)</f>
        <v>-24.439296800000001</v>
      </c>
      <c r="J14" s="277">
        <f>ROUND(VLOOKUP($E14,'BDEW-Standard'!$B$3:$M$94,J$9,0),7)</f>
        <v>6.5718174999999999</v>
      </c>
      <c r="K14" s="277">
        <f>ROUND(VLOOKUP($E14,'BDEW-Standard'!$B$3:$M$94,K$9,0),7)</f>
        <v>0.71077100000000004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ref="Q14:Q17" si="2">($H14/(1+($I14/($Q$9-$L14))^$J14)+$K14)+MAX($M14*$Q$9+$N14,$O14*$Q$9+$P14)</f>
        <v>1.0561214000512988</v>
      </c>
      <c r="R14" s="280">
        <f>ROUND(VLOOKUP(MID($E14,4,3),'Wochentag F(WT)'!$B$7:$J$22,R$9,0),4)</f>
        <v>1</v>
      </c>
      <c r="S14" s="280">
        <f>ROUND(VLOOKUP(MID($E14,4,3),'Wochentag F(WT)'!$B$7:$J$22,S$9,0),4)</f>
        <v>1</v>
      </c>
      <c r="T14" s="280">
        <f>ROUND(VLOOKUP(MID($E14,4,3),'Wochentag F(WT)'!$B$7:$J$22,T$9,0),4)</f>
        <v>1</v>
      </c>
      <c r="U14" s="280">
        <f>ROUND(VLOOKUP(MID($E14,4,3),'Wochentag F(WT)'!$B$7:$J$22,U$9,0),4)</f>
        <v>1</v>
      </c>
      <c r="V14" s="280">
        <f>ROUND(VLOOKUP(MID($E14,4,3),'Wochentag F(WT)'!$B$7:$J$22,V$9,0),4)</f>
        <v>1</v>
      </c>
      <c r="W14" s="280">
        <f>ROUND(VLOOKUP(MID($E14,4,3),'Wochentag F(WT)'!$B$7:$J$22,W$9,0),4)</f>
        <v>1</v>
      </c>
      <c r="X14" s="281">
        <f t="shared" si="1"/>
        <v>1</v>
      </c>
      <c r="Y14" s="302"/>
      <c r="Z14" s="211"/>
    </row>
    <row r="15" spans="2:26" s="142" customFormat="1">
      <c r="B15" s="143">
        <v>4</v>
      </c>
      <c r="C15" s="144" t="str">
        <f t="shared" si="0"/>
        <v>Bühl</v>
      </c>
      <c r="D15" s="61" t="s">
        <v>248</v>
      </c>
      <c r="E15" s="164" t="s">
        <v>667</v>
      </c>
      <c r="F15" s="306" t="str">
        <f>VLOOKUP($E15,'BDEW-Standard'!$B$3:$M$94,F$9,0)</f>
        <v>MK4</v>
      </c>
      <c r="H15" s="277">
        <f>ROUND(VLOOKUP($E15,'BDEW-Standard'!$B$3:$M$94,H$9,0),7)</f>
        <v>3.1177248</v>
      </c>
      <c r="I15" s="277">
        <f>ROUND(VLOOKUP($E15,'BDEW-Standard'!$B$3:$M$94,I$9,0),7)</f>
        <v>-35.871506199999999</v>
      </c>
      <c r="J15" s="277">
        <f>ROUND(VLOOKUP($E15,'BDEW-Standard'!$B$3:$M$94,J$9,0),7)</f>
        <v>7.5186828999999999</v>
      </c>
      <c r="K15" s="277">
        <f>ROUND(VLOOKUP($E15,'BDEW-Standard'!$B$3:$M$94,K$9,0),7)</f>
        <v>3.4330100000000002E-2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2"/>
        <v>0.9622064996731321</v>
      </c>
      <c r="R15" s="280">
        <f>ROUND(VLOOKUP(MID($E15,4,3),'Wochentag F(WT)'!$B$7:$J$22,R$9,0),4)</f>
        <v>1.0699000000000001</v>
      </c>
      <c r="S15" s="280">
        <f>ROUND(VLOOKUP(MID($E15,4,3),'Wochentag F(WT)'!$B$7:$J$22,S$9,0),4)</f>
        <v>1.0365</v>
      </c>
      <c r="T15" s="280">
        <f>ROUND(VLOOKUP(MID($E15,4,3),'Wochentag F(WT)'!$B$7:$J$22,T$9,0),4)</f>
        <v>0.99329999999999996</v>
      </c>
      <c r="U15" s="280">
        <f>ROUND(VLOOKUP(MID($E15,4,3),'Wochentag F(WT)'!$B$7:$J$22,U$9,0),4)</f>
        <v>0.99480000000000002</v>
      </c>
      <c r="V15" s="280">
        <f>ROUND(VLOOKUP(MID($E15,4,3),'Wochentag F(WT)'!$B$7:$J$22,V$9,0),4)</f>
        <v>1.0659000000000001</v>
      </c>
      <c r="W15" s="280">
        <f>ROUND(VLOOKUP(MID($E15,4,3),'Wochentag F(WT)'!$B$7:$J$22,W$9,0),4)</f>
        <v>0.93620000000000003</v>
      </c>
      <c r="X15" s="281">
        <f t="shared" si="1"/>
        <v>0.90339999999999954</v>
      </c>
      <c r="Y15" s="302"/>
      <c r="Z15" s="211"/>
    </row>
    <row r="16" spans="2:26" s="142" customFormat="1">
      <c r="B16" s="143">
        <v>5</v>
      </c>
      <c r="C16" s="144" t="str">
        <f t="shared" si="0"/>
        <v>Bühl</v>
      </c>
      <c r="D16" s="61" t="s">
        <v>248</v>
      </c>
      <c r="E16" s="164" t="s">
        <v>668</v>
      </c>
      <c r="F16" s="306" t="str">
        <f>VLOOKUP($E16,'BDEW-Standard'!$B$3:$M$94,F$9,0)</f>
        <v>HA4</v>
      </c>
      <c r="H16" s="277">
        <f>ROUND(VLOOKUP($E16,'BDEW-Standard'!$B$3:$M$94,H$9,0),7)</f>
        <v>4.0196902000000003</v>
      </c>
      <c r="I16" s="277">
        <f>ROUND(VLOOKUP($E16,'BDEW-Standard'!$B$3:$M$94,I$9,0),7)</f>
        <v>-37.828203700000003</v>
      </c>
      <c r="J16" s="277">
        <f>ROUND(VLOOKUP($E16,'BDEW-Standard'!$B$3:$M$94,J$9,0),7)</f>
        <v>8.1593368999999996</v>
      </c>
      <c r="K16" s="277">
        <f>ROUND(VLOOKUP($E16,'BDEW-Standard'!$B$3:$M$94,K$9,0),7)</f>
        <v>4.72845E-2</v>
      </c>
      <c r="L16" s="278">
        <f>ROUND(VLOOKUP($E16,'BDEW-Standard'!$B$3:$M$94,L$9,0),1)</f>
        <v>40</v>
      </c>
      <c r="M16" s="277">
        <f>ROUND(VLOOKUP($E16,'BDEW-Standard'!$B$3:$M$94,M$9,0),7)</f>
        <v>0</v>
      </c>
      <c r="N16" s="277">
        <f>ROUND(VLOOKUP($E16,'BDEW-Standard'!$B$3:$M$94,N$9,0),7)</f>
        <v>0</v>
      </c>
      <c r="O16" s="277">
        <f>ROUND(VLOOKUP($E16,'BDEW-Standard'!$B$3:$M$94,O$9,0),7)</f>
        <v>0</v>
      </c>
      <c r="P16" s="277">
        <f>ROUND(VLOOKUP($E16,'BDEW-Standard'!$B$3:$M$94,P$9,0),7)</f>
        <v>0</v>
      </c>
      <c r="Q16" s="279">
        <f t="shared" si="2"/>
        <v>0.86486713303260787</v>
      </c>
      <c r="R16" s="280">
        <f>ROUND(VLOOKUP(MID($E16,4,3),'Wochentag F(WT)'!$B$7:$J$22,R$9,0),4)</f>
        <v>1.0358000000000001</v>
      </c>
      <c r="S16" s="280">
        <f>ROUND(VLOOKUP(MID($E16,4,3),'Wochentag F(WT)'!$B$7:$J$22,S$9,0),4)</f>
        <v>1.0232000000000001</v>
      </c>
      <c r="T16" s="280">
        <f>ROUND(VLOOKUP(MID($E16,4,3),'Wochentag F(WT)'!$B$7:$J$22,T$9,0),4)</f>
        <v>1.0251999999999999</v>
      </c>
      <c r="U16" s="280">
        <f>ROUND(VLOOKUP(MID($E16,4,3),'Wochentag F(WT)'!$B$7:$J$22,U$9,0),4)</f>
        <v>1.0295000000000001</v>
      </c>
      <c r="V16" s="280">
        <f>ROUND(VLOOKUP(MID($E16,4,3),'Wochentag F(WT)'!$B$7:$J$22,V$9,0),4)</f>
        <v>1.0253000000000001</v>
      </c>
      <c r="W16" s="280">
        <f>ROUND(VLOOKUP(MID($E16,4,3),'Wochentag F(WT)'!$B$7:$J$22,W$9,0),4)</f>
        <v>0.96750000000000003</v>
      </c>
      <c r="X16" s="281">
        <f t="shared" si="1"/>
        <v>0.89350000000000041</v>
      </c>
      <c r="Y16" s="302"/>
      <c r="Z16" s="211"/>
    </row>
    <row r="17" spans="2:26" s="142" customFormat="1">
      <c r="B17" s="143">
        <v>6</v>
      </c>
      <c r="C17" s="144" t="str">
        <f t="shared" si="0"/>
        <v>Bühl</v>
      </c>
      <c r="D17" s="61" t="s">
        <v>248</v>
      </c>
      <c r="E17" s="164" t="s">
        <v>669</v>
      </c>
      <c r="F17" s="306" t="str">
        <f>VLOOKUP($E17,'BDEW-Standard'!$B$3:$M$94,F$9,0)</f>
        <v>KO4</v>
      </c>
      <c r="H17" s="277">
        <f>ROUND(VLOOKUP($E17,'BDEW-Standard'!$B$3:$M$94,H$9,0),7)</f>
        <v>3.4428942999999999</v>
      </c>
      <c r="I17" s="277">
        <f>ROUND(VLOOKUP($E17,'BDEW-Standard'!$B$3:$M$94,I$9,0),7)</f>
        <v>-36.659050399999998</v>
      </c>
      <c r="J17" s="277">
        <f>ROUND(VLOOKUP($E17,'BDEW-Standard'!$B$3:$M$94,J$9,0),7)</f>
        <v>7.6083226000000002</v>
      </c>
      <c r="K17" s="277">
        <f>ROUND(VLOOKUP($E17,'BDEW-Standard'!$B$3:$M$94,K$9,0),7)</f>
        <v>7.4685000000000001E-2</v>
      </c>
      <c r="L17" s="278">
        <f>ROUND(VLOOKUP($E17,'BDEW-Standard'!$B$3:$M$94,L$9,0),1)</f>
        <v>40</v>
      </c>
      <c r="M17" s="277">
        <f>ROUND(VLOOKUP($E17,'BDEW-Standard'!$B$3:$M$94,M$9,0),7)</f>
        <v>0</v>
      </c>
      <c r="N17" s="277">
        <f>ROUND(VLOOKUP($E17,'BDEW-Standard'!$B$3:$M$94,N$9,0),7)</f>
        <v>0</v>
      </c>
      <c r="O17" s="277">
        <f>ROUND(VLOOKUP($E17,'BDEW-Standard'!$B$3:$M$94,O$9,0),7)</f>
        <v>0</v>
      </c>
      <c r="P17" s="277">
        <f>ROUND(VLOOKUP($E17,'BDEW-Standard'!$B$3:$M$94,P$9,0),7)</f>
        <v>0</v>
      </c>
      <c r="Q17" s="279">
        <f t="shared" si="2"/>
        <v>0.97768382110526542</v>
      </c>
      <c r="R17" s="280">
        <f>ROUND(VLOOKUP(MID($E17,4,3),'Wochentag F(WT)'!$B$7:$J$22,R$9,0),4)</f>
        <v>1.0354000000000001</v>
      </c>
      <c r="S17" s="280">
        <f>ROUND(VLOOKUP(MID($E17,4,3),'Wochentag F(WT)'!$B$7:$J$22,S$9,0),4)</f>
        <v>1.0523</v>
      </c>
      <c r="T17" s="280">
        <f>ROUND(VLOOKUP(MID($E17,4,3),'Wochentag F(WT)'!$B$7:$J$22,T$9,0),4)</f>
        <v>1.0448999999999999</v>
      </c>
      <c r="U17" s="280">
        <f>ROUND(VLOOKUP(MID($E17,4,3),'Wochentag F(WT)'!$B$7:$J$22,U$9,0),4)</f>
        <v>1.0494000000000001</v>
      </c>
      <c r="V17" s="280">
        <f>ROUND(VLOOKUP(MID($E17,4,3),'Wochentag F(WT)'!$B$7:$J$22,V$9,0),4)</f>
        <v>0.98850000000000005</v>
      </c>
      <c r="W17" s="280">
        <f>ROUND(VLOOKUP(MID($E17,4,3),'Wochentag F(WT)'!$B$7:$J$22,W$9,0),4)</f>
        <v>0.88600000000000001</v>
      </c>
      <c r="X17" s="281">
        <f t="shared" si="1"/>
        <v>0.94349999999999934</v>
      </c>
      <c r="Y17" s="302"/>
      <c r="Z17" s="211"/>
    </row>
    <row r="18" spans="2:26" s="142" customFormat="1">
      <c r="B18" s="143">
        <v>7</v>
      </c>
      <c r="C18" s="144"/>
      <c r="D18" s="61"/>
      <c r="E18" s="164"/>
      <c r="F18" s="306"/>
      <c r="H18" s="277"/>
      <c r="I18" s="277"/>
      <c r="J18" s="277"/>
      <c r="K18" s="277"/>
      <c r="L18" s="278"/>
      <c r="M18" s="277"/>
      <c r="N18" s="277"/>
      <c r="O18" s="277"/>
      <c r="P18" s="277"/>
      <c r="Q18" s="279"/>
      <c r="R18" s="280"/>
      <c r="S18" s="280"/>
      <c r="T18" s="280"/>
      <c r="U18" s="280"/>
      <c r="V18" s="280"/>
      <c r="W18" s="280"/>
      <c r="X18" s="281"/>
      <c r="Y18" s="302"/>
      <c r="Z18" s="211"/>
    </row>
    <row r="19" spans="2:26" s="142" customFormat="1">
      <c r="B19" s="143">
        <v>8</v>
      </c>
      <c r="C19" s="144"/>
      <c r="D19" s="61"/>
      <c r="E19" s="164"/>
      <c r="F19" s="306"/>
      <c r="H19" s="277"/>
      <c r="I19" s="277"/>
      <c r="J19" s="277"/>
      <c r="K19" s="277"/>
      <c r="L19" s="278"/>
      <c r="M19" s="277"/>
      <c r="N19" s="277"/>
      <c r="O19" s="277"/>
      <c r="P19" s="277"/>
      <c r="Q19" s="279"/>
      <c r="R19" s="280"/>
      <c r="S19" s="280"/>
      <c r="T19" s="280"/>
      <c r="U19" s="280"/>
      <c r="V19" s="280"/>
      <c r="W19" s="280"/>
      <c r="X19" s="281"/>
      <c r="Y19" s="302"/>
      <c r="Z19" s="211"/>
    </row>
    <row r="20" spans="2:26" s="142" customFormat="1">
      <c r="B20" s="143">
        <v>9</v>
      </c>
      <c r="C20" s="144"/>
      <c r="D20" s="61"/>
      <c r="E20" s="164"/>
      <c r="F20" s="306"/>
      <c r="H20" s="277"/>
      <c r="I20" s="277"/>
      <c r="J20" s="277"/>
      <c r="K20" s="277"/>
      <c r="L20" s="278"/>
      <c r="M20" s="277"/>
      <c r="N20" s="277"/>
      <c r="O20" s="277"/>
      <c r="P20" s="277"/>
      <c r="Q20" s="279"/>
      <c r="R20" s="280"/>
      <c r="S20" s="280"/>
      <c r="T20" s="280"/>
      <c r="U20" s="280"/>
      <c r="V20" s="280"/>
      <c r="W20" s="280"/>
      <c r="X20" s="281"/>
      <c r="Y20" s="302"/>
      <c r="Z20" s="211"/>
    </row>
    <row r="21" spans="2:26" s="142" customFormat="1">
      <c r="B21" s="143">
        <v>10</v>
      </c>
      <c r="C21" s="144"/>
      <c r="D21" s="61"/>
      <c r="E21" s="164"/>
      <c r="F21" s="306"/>
      <c r="H21" s="277"/>
      <c r="I21" s="277"/>
      <c r="J21" s="277"/>
      <c r="K21" s="277"/>
      <c r="L21" s="278"/>
      <c r="M21" s="277"/>
      <c r="N21" s="277"/>
      <c r="O21" s="277"/>
      <c r="P21" s="277"/>
      <c r="Q21" s="279"/>
      <c r="R21" s="280"/>
      <c r="S21" s="280"/>
      <c r="T21" s="280"/>
      <c r="U21" s="280"/>
      <c r="V21" s="280"/>
      <c r="W21" s="280"/>
      <c r="X21" s="281"/>
      <c r="Y21" s="302"/>
      <c r="Z21" s="211"/>
    </row>
    <row r="22" spans="2:26" s="142" customFormat="1">
      <c r="B22" s="143">
        <v>11</v>
      </c>
      <c r="C22" s="144"/>
      <c r="D22" s="61"/>
      <c r="E22" s="164"/>
      <c r="F22" s="306"/>
      <c r="H22" s="277"/>
      <c r="I22" s="277"/>
      <c r="J22" s="277"/>
      <c r="K22" s="277"/>
      <c r="L22" s="278"/>
      <c r="M22" s="277"/>
      <c r="N22" s="277"/>
      <c r="O22" s="277"/>
      <c r="P22" s="277"/>
      <c r="Q22" s="279"/>
      <c r="R22" s="280"/>
      <c r="S22" s="280"/>
      <c r="T22" s="280"/>
      <c r="U22" s="280"/>
      <c r="V22" s="280"/>
      <c r="W22" s="280"/>
      <c r="X22" s="281"/>
      <c r="Y22" s="302"/>
      <c r="Z22" s="211"/>
    </row>
    <row r="23" spans="2:26" s="142" customFormat="1">
      <c r="B23" s="143">
        <v>12</v>
      </c>
      <c r="C23" s="144"/>
      <c r="D23" s="61"/>
      <c r="E23" s="164"/>
      <c r="F23" s="306"/>
      <c r="H23" s="277"/>
      <c r="I23" s="277"/>
      <c r="J23" s="277"/>
      <c r="K23" s="277"/>
      <c r="L23" s="278"/>
      <c r="M23" s="277"/>
      <c r="N23" s="277"/>
      <c r="O23" s="277"/>
      <c r="P23" s="277"/>
      <c r="Q23" s="279"/>
      <c r="R23" s="280"/>
      <c r="S23" s="280"/>
      <c r="T23" s="280"/>
      <c r="U23" s="280"/>
      <c r="V23" s="280"/>
      <c r="W23" s="280"/>
      <c r="X23" s="281"/>
      <c r="Y23" s="302"/>
      <c r="Z23" s="211"/>
    </row>
    <row r="24" spans="2:26" s="142" customFormat="1">
      <c r="B24" s="143">
        <v>13</v>
      </c>
      <c r="C24" s="144"/>
      <c r="D24" s="61"/>
      <c r="E24" s="164"/>
      <c r="F24" s="306"/>
      <c r="H24" s="277"/>
      <c r="I24" s="277"/>
      <c r="J24" s="277"/>
      <c r="K24" s="277"/>
      <c r="L24" s="278"/>
      <c r="M24" s="277"/>
      <c r="N24" s="277"/>
      <c r="O24" s="277"/>
      <c r="P24" s="277"/>
      <c r="Q24" s="279"/>
      <c r="R24" s="280"/>
      <c r="S24" s="280"/>
      <c r="T24" s="280"/>
      <c r="U24" s="280"/>
      <c r="V24" s="280"/>
      <c r="W24" s="280"/>
      <c r="X24" s="281"/>
      <c r="Y24" s="302"/>
      <c r="Z24" s="211"/>
    </row>
    <row r="25" spans="2:26" s="142" customFormat="1">
      <c r="B25" s="143">
        <v>14</v>
      </c>
      <c r="C25" s="144"/>
      <c r="D25" s="61"/>
      <c r="E25" s="164"/>
      <c r="F25" s="306"/>
      <c r="H25" s="277"/>
      <c r="I25" s="277"/>
      <c r="J25" s="277"/>
      <c r="K25" s="277"/>
      <c r="L25" s="278"/>
      <c r="M25" s="277"/>
      <c r="N25" s="277"/>
      <c r="O25" s="277"/>
      <c r="P25" s="277"/>
      <c r="Q25" s="279"/>
      <c r="R25" s="280"/>
      <c r="S25" s="280"/>
      <c r="T25" s="280"/>
      <c r="U25" s="280"/>
      <c r="V25" s="280"/>
      <c r="W25" s="280"/>
      <c r="X25" s="281"/>
      <c r="Y25" s="302"/>
      <c r="Z25" s="211"/>
    </row>
    <row r="26" spans="2:26" s="142" customFormat="1">
      <c r="B26" s="143">
        <v>15</v>
      </c>
      <c r="C26" s="144"/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>
      <c r="B27" s="143">
        <v>16</v>
      </c>
      <c r="C27" s="144"/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>
      <c r="B28" s="143">
        <v>17</v>
      </c>
      <c r="C28" s="144"/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>
      <c r="B29" s="143">
        <v>18</v>
      </c>
      <c r="C29" s="144"/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>
      <c r="B30" s="143">
        <v>19</v>
      </c>
      <c r="C30" s="144"/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>
      <c r="B31" s="143">
        <v>20</v>
      </c>
      <c r="C31" s="144"/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>
      <c r="B32" s="143">
        <v>21</v>
      </c>
      <c r="C32" s="144"/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>
      <c r="B33" s="143">
        <v>22</v>
      </c>
      <c r="C33" s="144"/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>
      <c r="B34" s="143">
        <v>23</v>
      </c>
      <c r="C34" s="144"/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>
      <c r="B35" s="143">
        <v>24</v>
      </c>
      <c r="C35" s="144"/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>
      <c r="B36" s="143">
        <v>25</v>
      </c>
      <c r="C36" s="144"/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>
      <c r="B37" s="143">
        <v>26</v>
      </c>
      <c r="C37" s="144"/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>
      <c r="B38" s="143">
        <v>27</v>
      </c>
      <c r="C38" s="144"/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>
      <c r="B39" s="143">
        <v>28</v>
      </c>
      <c r="C39" s="144"/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>
      <c r="B40" s="143">
        <v>29</v>
      </c>
      <c r="C40" s="144"/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>
      <c r="B41" s="143">
        <v>30</v>
      </c>
      <c r="C41" s="144"/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4" t="s">
        <v>344</v>
      </c>
      <c r="B1" s="215">
        <v>42173</v>
      </c>
      <c r="D1" s="130" t="s">
        <v>451</v>
      </c>
      <c r="F1" s="216" t="s">
        <v>545</v>
      </c>
      <c r="N1" s="217"/>
    </row>
    <row r="2" spans="1:14" ht="25.5">
      <c r="A2" s="218" t="s">
        <v>268</v>
      </c>
      <c r="B2" s="219" t="s">
        <v>146</v>
      </c>
      <c r="C2" s="220" t="s">
        <v>148</v>
      </c>
      <c r="D2" s="221" t="s">
        <v>149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70</v>
      </c>
      <c r="J2" s="222" t="s">
        <v>150</v>
      </c>
      <c r="K2" s="222" t="s">
        <v>151</v>
      </c>
      <c r="L2" s="222" t="s">
        <v>152</v>
      </c>
      <c r="M2" s="224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7" t="s">
        <v>245</v>
      </c>
      <c r="B95" s="127" t="s">
        <v>50</v>
      </c>
      <c r="C95" s="127" t="s">
        <v>314</v>
      </c>
      <c r="D95" s="234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7" t="s">
        <v>245</v>
      </c>
      <c r="B96" s="127" t="s">
        <v>55</v>
      </c>
      <c r="C96" s="127" t="s">
        <v>319</v>
      </c>
      <c r="D96" s="234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7" t="s">
        <v>245</v>
      </c>
      <c r="B97" s="127" t="s">
        <v>60</v>
      </c>
      <c r="C97" s="127" t="s">
        <v>324</v>
      </c>
      <c r="D97" s="234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7" t="s">
        <v>245</v>
      </c>
      <c r="B98" s="127" t="s">
        <v>65</v>
      </c>
      <c r="C98" s="127" t="s">
        <v>329</v>
      </c>
      <c r="D98" s="234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7" t="s">
        <v>245</v>
      </c>
      <c r="B99" s="127" t="s">
        <v>18</v>
      </c>
      <c r="C99" s="127" t="s">
        <v>282</v>
      </c>
      <c r="D99" s="234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7" t="s">
        <v>245</v>
      </c>
      <c r="B100" s="127" t="s">
        <v>22</v>
      </c>
      <c r="C100" s="127" t="s">
        <v>286</v>
      </c>
      <c r="D100" s="234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7" t="s">
        <v>245</v>
      </c>
      <c r="B101" s="127" t="s">
        <v>26</v>
      </c>
      <c r="C101" s="127" t="s">
        <v>290</v>
      </c>
      <c r="D101" s="234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7" t="s">
        <v>245</v>
      </c>
      <c r="B102" s="127" t="s">
        <v>30</v>
      </c>
      <c r="C102" s="127" t="s">
        <v>294</v>
      </c>
      <c r="D102" s="234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7" t="s">
        <v>245</v>
      </c>
      <c r="B103" s="127" t="s">
        <v>34</v>
      </c>
      <c r="C103" s="127" t="s">
        <v>298</v>
      </c>
      <c r="D103" s="234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7" t="s">
        <v>245</v>
      </c>
      <c r="B104" s="127" t="s">
        <v>38</v>
      </c>
      <c r="C104" s="127" t="s">
        <v>302</v>
      </c>
      <c r="D104" s="234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7" t="s">
        <v>245</v>
      </c>
      <c r="B105" s="127" t="s">
        <v>42</v>
      </c>
      <c r="C105" s="127" t="s">
        <v>306</v>
      </c>
      <c r="D105" s="234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7" t="s">
        <v>245</v>
      </c>
      <c r="B106" s="127" t="s">
        <v>46</v>
      </c>
      <c r="C106" s="127" t="s">
        <v>310</v>
      </c>
      <c r="D106" s="234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7" t="s">
        <v>245</v>
      </c>
      <c r="B107" s="127" t="s">
        <v>51</v>
      </c>
      <c r="C107" s="127" t="s">
        <v>315</v>
      </c>
      <c r="D107" s="234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7" t="s">
        <v>245</v>
      </c>
      <c r="B108" s="127" t="s">
        <v>56</v>
      </c>
      <c r="C108" s="127" t="s">
        <v>320</v>
      </c>
      <c r="D108" s="234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7" t="s">
        <v>245</v>
      </c>
      <c r="B109" s="127" t="s">
        <v>61</v>
      </c>
      <c r="C109" s="127" t="s">
        <v>325</v>
      </c>
      <c r="D109" s="234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7" t="s">
        <v>245</v>
      </c>
      <c r="B110" s="127" t="s">
        <v>66</v>
      </c>
      <c r="C110" s="127" t="s">
        <v>330</v>
      </c>
      <c r="D110" s="234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7" t="s">
        <v>245</v>
      </c>
      <c r="B111" s="127" t="s">
        <v>6</v>
      </c>
      <c r="C111" s="127" t="s">
        <v>270</v>
      </c>
      <c r="D111" s="234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7" t="s">
        <v>245</v>
      </c>
      <c r="B112" s="127" t="s">
        <v>7</v>
      </c>
      <c r="C112" s="127" t="s">
        <v>271</v>
      </c>
      <c r="D112" s="234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7" t="s">
        <v>245</v>
      </c>
      <c r="B113" s="127" t="s">
        <v>8</v>
      </c>
      <c r="C113" s="127" t="s">
        <v>272</v>
      </c>
      <c r="D113" s="234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7" t="s">
        <v>245</v>
      </c>
      <c r="B114" s="127" t="s">
        <v>9</v>
      </c>
      <c r="C114" s="127" t="s">
        <v>273</v>
      </c>
      <c r="D114" s="234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7" t="s">
        <v>245</v>
      </c>
      <c r="B115" s="127" t="s">
        <v>19</v>
      </c>
      <c r="C115" s="127" t="s">
        <v>283</v>
      </c>
      <c r="D115" s="234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7" t="s">
        <v>245</v>
      </c>
      <c r="B116" s="127" t="s">
        <v>23</v>
      </c>
      <c r="C116" s="127" t="s">
        <v>287</v>
      </c>
      <c r="D116" s="234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7" t="s">
        <v>245</v>
      </c>
      <c r="B117" s="127" t="s">
        <v>27</v>
      </c>
      <c r="C117" s="127" t="s">
        <v>291</v>
      </c>
      <c r="D117" s="234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7" t="s">
        <v>245</v>
      </c>
      <c r="B118" s="127" t="s">
        <v>31</v>
      </c>
      <c r="C118" s="127" t="s">
        <v>295</v>
      </c>
      <c r="D118" s="234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7" t="s">
        <v>245</v>
      </c>
      <c r="B119" s="127" t="s">
        <v>10</v>
      </c>
      <c r="C119" s="127" t="s">
        <v>274</v>
      </c>
      <c r="D119" s="234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7" t="s">
        <v>245</v>
      </c>
      <c r="B120" s="127" t="s">
        <v>12</v>
      </c>
      <c r="C120" s="127" t="s">
        <v>276</v>
      </c>
      <c r="D120" s="234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7" t="s">
        <v>245</v>
      </c>
      <c r="B121" s="127" t="s">
        <v>14</v>
      </c>
      <c r="C121" s="127" t="s">
        <v>278</v>
      </c>
      <c r="D121" s="234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7" t="s">
        <v>245</v>
      </c>
      <c r="B122" s="127" t="s">
        <v>16</v>
      </c>
      <c r="C122" s="127" t="s">
        <v>280</v>
      </c>
      <c r="D122" s="234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7" t="s">
        <v>245</v>
      </c>
      <c r="B123" s="127" t="s">
        <v>52</v>
      </c>
      <c r="C123" s="127" t="s">
        <v>316</v>
      </c>
      <c r="D123" s="234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7" t="s">
        <v>245</v>
      </c>
      <c r="B124" s="127" t="s">
        <v>57</v>
      </c>
      <c r="C124" s="127" t="s">
        <v>321</v>
      </c>
      <c r="D124" s="234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7" t="s">
        <v>245</v>
      </c>
      <c r="B125" s="127" t="s">
        <v>62</v>
      </c>
      <c r="C125" s="127" t="s">
        <v>326</v>
      </c>
      <c r="D125" s="234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7" t="s">
        <v>245</v>
      </c>
      <c r="B126" s="127" t="s">
        <v>67</v>
      </c>
      <c r="C126" s="127" t="s">
        <v>331</v>
      </c>
      <c r="D126" s="234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7" t="s">
        <v>245</v>
      </c>
      <c r="B127" s="127" t="s">
        <v>20</v>
      </c>
      <c r="C127" s="127" t="s">
        <v>284</v>
      </c>
      <c r="D127" s="234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7" t="s">
        <v>245</v>
      </c>
      <c r="B128" s="127" t="s">
        <v>24</v>
      </c>
      <c r="C128" s="127" t="s">
        <v>288</v>
      </c>
      <c r="D128" s="234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7" t="s">
        <v>245</v>
      </c>
      <c r="B129" s="127" t="s">
        <v>28</v>
      </c>
      <c r="C129" s="127" t="s">
        <v>292</v>
      </c>
      <c r="D129" s="234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7" t="s">
        <v>245</v>
      </c>
      <c r="B130" s="127" t="s">
        <v>32</v>
      </c>
      <c r="C130" s="127" t="s">
        <v>296</v>
      </c>
      <c r="D130" s="234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7" t="s">
        <v>245</v>
      </c>
      <c r="B131" s="127" t="s">
        <v>21</v>
      </c>
      <c r="C131" s="127" t="s">
        <v>285</v>
      </c>
      <c r="D131" s="234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7" t="s">
        <v>245</v>
      </c>
      <c r="B132" s="127" t="s">
        <v>25</v>
      </c>
      <c r="C132" s="127" t="s">
        <v>289</v>
      </c>
      <c r="D132" s="234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7" t="s">
        <v>245</v>
      </c>
      <c r="B133" s="127" t="s">
        <v>29</v>
      </c>
      <c r="C133" s="127" t="s">
        <v>293</v>
      </c>
      <c r="D133" s="234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7" t="s">
        <v>245</v>
      </c>
      <c r="B134" s="127" t="s">
        <v>33</v>
      </c>
      <c r="C134" s="127" t="s">
        <v>297</v>
      </c>
      <c r="D134" s="234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7" t="s">
        <v>245</v>
      </c>
      <c r="B135" s="127" t="s">
        <v>35</v>
      </c>
      <c r="C135" s="127" t="s">
        <v>299</v>
      </c>
      <c r="D135" s="234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7" t="s">
        <v>245</v>
      </c>
      <c r="B136" s="127" t="s">
        <v>39</v>
      </c>
      <c r="C136" s="127" t="s">
        <v>303</v>
      </c>
      <c r="D136" s="234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7" t="s">
        <v>245</v>
      </c>
      <c r="B137" s="127" t="s">
        <v>43</v>
      </c>
      <c r="C137" s="127" t="s">
        <v>307</v>
      </c>
      <c r="D137" s="234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7" t="s">
        <v>245</v>
      </c>
      <c r="B138" s="127" t="s">
        <v>47</v>
      </c>
      <c r="C138" s="127" t="s">
        <v>311</v>
      </c>
      <c r="D138" s="234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7" t="s">
        <v>245</v>
      </c>
      <c r="B139" s="127" t="s">
        <v>36</v>
      </c>
      <c r="C139" s="127" t="s">
        <v>300</v>
      </c>
      <c r="D139" s="234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7" t="s">
        <v>245</v>
      </c>
      <c r="B140" s="127" t="s">
        <v>40</v>
      </c>
      <c r="C140" s="127" t="s">
        <v>304</v>
      </c>
      <c r="D140" s="234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7" t="s">
        <v>245</v>
      </c>
      <c r="B141" s="127" t="s">
        <v>44</v>
      </c>
      <c r="C141" s="127" t="s">
        <v>308</v>
      </c>
      <c r="D141" s="234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7" t="s">
        <v>245</v>
      </c>
      <c r="B142" s="127" t="s">
        <v>48</v>
      </c>
      <c r="C142" s="127" t="s">
        <v>312</v>
      </c>
      <c r="D142" s="234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7" t="s">
        <v>245</v>
      </c>
      <c r="B143" s="127" t="s">
        <v>11</v>
      </c>
      <c r="C143" s="127" t="s">
        <v>275</v>
      </c>
      <c r="D143" s="234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7" t="s">
        <v>245</v>
      </c>
      <c r="B144" s="127" t="s">
        <v>13</v>
      </c>
      <c r="C144" s="127" t="s">
        <v>277</v>
      </c>
      <c r="D144" s="234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7" t="s">
        <v>245</v>
      </c>
      <c r="B145" s="127" t="s">
        <v>15</v>
      </c>
      <c r="C145" s="127" t="s">
        <v>279</v>
      </c>
      <c r="D145" s="234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7" t="s">
        <v>245</v>
      </c>
      <c r="B146" s="127" t="s">
        <v>17</v>
      </c>
      <c r="C146" s="127" t="s">
        <v>281</v>
      </c>
      <c r="D146" s="234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7" t="s">
        <v>245</v>
      </c>
      <c r="B147" s="127" t="s">
        <v>37</v>
      </c>
      <c r="C147" s="127" t="s">
        <v>301</v>
      </c>
      <c r="D147" s="234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7" t="s">
        <v>245</v>
      </c>
      <c r="B148" s="127" t="s">
        <v>41</v>
      </c>
      <c r="C148" s="127" t="s">
        <v>305</v>
      </c>
      <c r="D148" s="234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7" t="s">
        <v>245</v>
      </c>
      <c r="B149" s="127" t="s">
        <v>45</v>
      </c>
      <c r="C149" s="127" t="s">
        <v>309</v>
      </c>
      <c r="D149" s="234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7" t="s">
        <v>245</v>
      </c>
      <c r="B150" s="127" t="s">
        <v>49</v>
      </c>
      <c r="C150" s="127" t="s">
        <v>313</v>
      </c>
      <c r="D150" s="234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7" t="s">
        <v>245</v>
      </c>
      <c r="B151" s="127" t="s">
        <v>53</v>
      </c>
      <c r="C151" s="127" t="s">
        <v>317</v>
      </c>
      <c r="D151" s="234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7" t="s">
        <v>245</v>
      </c>
      <c r="B152" s="127" t="s">
        <v>58</v>
      </c>
      <c r="C152" s="127" t="s">
        <v>322</v>
      </c>
      <c r="D152" s="234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7" t="s">
        <v>245</v>
      </c>
      <c r="B153" s="127" t="s">
        <v>63</v>
      </c>
      <c r="C153" s="127" t="s">
        <v>327</v>
      </c>
      <c r="D153" s="234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7" t="s">
        <v>245</v>
      </c>
      <c r="B154" s="127" t="s">
        <v>68</v>
      </c>
      <c r="C154" s="127" t="s">
        <v>332</v>
      </c>
      <c r="D154" s="234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7" t="s">
        <v>245</v>
      </c>
      <c r="B155" s="127" t="s">
        <v>54</v>
      </c>
      <c r="C155" s="127" t="s">
        <v>318</v>
      </c>
      <c r="D155" s="234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7" t="s">
        <v>245</v>
      </c>
      <c r="B156" s="127" t="s">
        <v>59</v>
      </c>
      <c r="C156" s="127" t="s">
        <v>323</v>
      </c>
      <c r="D156" s="234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7" t="s">
        <v>245</v>
      </c>
      <c r="B157" s="127" t="s">
        <v>64</v>
      </c>
      <c r="C157" s="127" t="s">
        <v>328</v>
      </c>
      <c r="D157" s="234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7" t="s">
        <v>245</v>
      </c>
      <c r="B158" s="127" t="s">
        <v>69</v>
      </c>
      <c r="C158" s="127" t="s">
        <v>333</v>
      </c>
      <c r="D158" s="234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opLeftCell="A13" zoomScale="80" zoomScaleNormal="80" workbookViewId="0">
      <selection activeCell="M14" sqref="M14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443</v>
      </c>
    </row>
    <row r="3" spans="2:30" ht="15" customHeight="1">
      <c r="B3" s="83"/>
    </row>
    <row r="4" spans="2:30" ht="15" customHeight="1">
      <c r="B4" s="84" t="s">
        <v>442</v>
      </c>
      <c r="C4" s="62" t="str">
        <f>Netzbetreiber!$D$9</f>
        <v>Stadtwerke Bühl GmbH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441</v>
      </c>
      <c r="C5" s="63" t="str">
        <f>Netzbetreiber!D28</f>
        <v>Bühl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439</v>
      </c>
      <c r="C6" s="62" t="str">
        <f>Netzbetreiber!$D$11</f>
        <v>9870026200004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7">
        <f>Netzbetreiber!$D$6</f>
        <v>44713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66" t="s">
        <v>455</v>
      </c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8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91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>
      <c r="B10" s="371" t="s">
        <v>583</v>
      </c>
      <c r="C10" s="372"/>
      <c r="D10" s="93">
        <v>2</v>
      </c>
      <c r="E10" s="94" t="str">
        <f>IF(ISERROR(HLOOKUP(E$11,$M$9:$AD$35,$D10,0)),"",HLOOKUP(E$11,$M$9:$AD$35,$D10,0))</f>
        <v/>
      </c>
      <c r="F10" s="369" t="s">
        <v>395</v>
      </c>
      <c r="G10" s="369"/>
      <c r="H10" s="369"/>
      <c r="I10" s="369"/>
      <c r="J10" s="369"/>
      <c r="K10" s="369"/>
      <c r="L10" s="370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9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.75" thickBot="1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1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396</v>
      </c>
      <c r="C12" s="109"/>
      <c r="D12" s="110">
        <v>4</v>
      </c>
      <c r="E12" s="313">
        <f>MIN(SUMPRODUCT($M$11:$AD$11,M12:AD12),1)</f>
        <v>1</v>
      </c>
      <c r="F12" s="310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>
      <c r="B13" s="115" t="s">
        <v>397</v>
      </c>
      <c r="C13" s="116"/>
      <c r="D13" s="110">
        <v>5</v>
      </c>
      <c r="E13" s="314">
        <f t="shared" ref="E13:E35" si="0">MIN(SUMPRODUCT($M$11:$AD$11,M13:AD13),1)</f>
        <v>1</v>
      </c>
      <c r="F13" s="311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>
      <c r="B14" s="115" t="s">
        <v>398</v>
      </c>
      <c r="C14" s="116"/>
      <c r="D14" s="110">
        <v>6</v>
      </c>
      <c r="E14" s="314">
        <f t="shared" si="0"/>
        <v>0</v>
      </c>
      <c r="F14" s="311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>
      <c r="B15" s="115" t="s">
        <v>400</v>
      </c>
      <c r="C15" s="116"/>
      <c r="D15" s="110">
        <v>7</v>
      </c>
      <c r="E15" s="314">
        <f t="shared" si="0"/>
        <v>0</v>
      </c>
      <c r="F15" s="311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>
      <c r="B16" s="120" t="s">
        <v>412</v>
      </c>
      <c r="C16" s="116"/>
      <c r="D16" s="110">
        <v>8</v>
      </c>
      <c r="E16" s="314">
        <f t="shared" si="0"/>
        <v>1</v>
      </c>
      <c r="F16" s="311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>
      <c r="B17" s="120" t="s">
        <v>413</v>
      </c>
      <c r="C17" s="116"/>
      <c r="D17" s="110">
        <v>9</v>
      </c>
      <c r="E17" s="314">
        <f t="shared" si="0"/>
        <v>1</v>
      </c>
      <c r="F17" s="311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>
      <c r="B18" s="120" t="s">
        <v>414</v>
      </c>
      <c r="C18" s="116"/>
      <c r="D18" s="110">
        <v>10</v>
      </c>
      <c r="E18" s="314">
        <f t="shared" si="0"/>
        <v>1</v>
      </c>
      <c r="F18" s="311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>
      <c r="B19" s="338" t="s">
        <v>651</v>
      </c>
      <c r="C19" s="339"/>
      <c r="D19" s="110"/>
      <c r="E19" s="314">
        <v>1</v>
      </c>
      <c r="F19" s="311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80" t="s">
        <v>392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>
      <c r="B20" s="120" t="s">
        <v>401</v>
      </c>
      <c r="C20" s="116"/>
      <c r="D20" s="110">
        <v>11</v>
      </c>
      <c r="E20" s="314">
        <f t="shared" si="0"/>
        <v>1</v>
      </c>
      <c r="F20" s="311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>
      <c r="B21" s="120" t="s">
        <v>649</v>
      </c>
      <c r="C21" s="116"/>
      <c r="D21" s="110">
        <v>12</v>
      </c>
      <c r="E21" s="314">
        <f t="shared" si="0"/>
        <v>1</v>
      </c>
      <c r="F21" s="311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>
      <c r="B22" s="120" t="s">
        <v>415</v>
      </c>
      <c r="C22" s="116"/>
      <c r="D22" s="110">
        <v>13</v>
      </c>
      <c r="E22" s="314">
        <f t="shared" si="0"/>
        <v>1</v>
      </c>
      <c r="F22" s="311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>
      <c r="B23" s="120" t="s">
        <v>416</v>
      </c>
      <c r="C23" s="116"/>
      <c r="D23" s="110">
        <v>14</v>
      </c>
      <c r="E23" s="314">
        <f t="shared" si="0"/>
        <v>1</v>
      </c>
      <c r="F23" s="311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>
      <c r="B24" s="115" t="s">
        <v>417</v>
      </c>
      <c r="C24" s="116"/>
      <c r="D24" s="110">
        <v>15</v>
      </c>
      <c r="E24" s="314">
        <f t="shared" si="0"/>
        <v>1</v>
      </c>
      <c r="F24" s="311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>
      <c r="B25" s="115" t="s">
        <v>402</v>
      </c>
      <c r="C25" s="116"/>
      <c r="D25" s="110">
        <v>16</v>
      </c>
      <c r="E25" s="314">
        <f t="shared" si="0"/>
        <v>0</v>
      </c>
      <c r="F25" s="311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>
      <c r="B26" s="115" t="s">
        <v>403</v>
      </c>
      <c r="C26" s="116"/>
      <c r="D26" s="110">
        <v>17</v>
      </c>
      <c r="E26" s="314">
        <f t="shared" si="0"/>
        <v>0</v>
      </c>
      <c r="F26" s="311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>
      <c r="B27" s="338" t="s">
        <v>650</v>
      </c>
      <c r="C27" s="339"/>
      <c r="D27" s="110"/>
      <c r="E27" s="314">
        <v>1</v>
      </c>
      <c r="F27" s="311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80" t="s">
        <v>392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>
      <c r="B28" s="120" t="s">
        <v>404</v>
      </c>
      <c r="C28" s="116"/>
      <c r="D28" s="110">
        <v>18</v>
      </c>
      <c r="E28" s="314">
        <f t="shared" si="0"/>
        <v>1</v>
      </c>
      <c r="F28" s="311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5">
      <c r="B29" s="338" t="s">
        <v>405</v>
      </c>
      <c r="C29" s="339"/>
      <c r="D29" s="340">
        <v>19</v>
      </c>
      <c r="E29" s="341">
        <v>1</v>
      </c>
      <c r="F29" s="311" t="s">
        <v>392</v>
      </c>
      <c r="G29" s="311" t="s">
        <v>392</v>
      </c>
      <c r="H29" s="311" t="s">
        <v>392</v>
      </c>
      <c r="I29" s="311" t="s">
        <v>392</v>
      </c>
      <c r="J29" s="311" t="s">
        <v>392</v>
      </c>
      <c r="K29" s="311" t="s">
        <v>392</v>
      </c>
      <c r="L29" s="311" t="s">
        <v>392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5">
      <c r="B30" s="115" t="s">
        <v>406</v>
      </c>
      <c r="C30" s="116"/>
      <c r="D30" s="110">
        <v>20</v>
      </c>
      <c r="E30" s="314">
        <f t="shared" si="0"/>
        <v>1</v>
      </c>
      <c r="F30" s="311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>
      <c r="B31" s="115" t="s">
        <v>407</v>
      </c>
      <c r="C31" s="116"/>
      <c r="D31" s="110">
        <v>21</v>
      </c>
      <c r="E31" s="314">
        <f t="shared" si="0"/>
        <v>0</v>
      </c>
      <c r="F31" s="311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>
      <c r="B32" s="115" t="s">
        <v>408</v>
      </c>
      <c r="C32" s="116"/>
      <c r="D32" s="110">
        <v>22</v>
      </c>
      <c r="E32" s="314">
        <f t="shared" si="0"/>
        <v>0</v>
      </c>
      <c r="F32" s="311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>
      <c r="B33" s="120" t="s">
        <v>409</v>
      </c>
      <c r="C33" s="116"/>
      <c r="D33" s="110">
        <v>23</v>
      </c>
      <c r="E33" s="314">
        <f t="shared" si="0"/>
        <v>1</v>
      </c>
      <c r="F33" s="311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>
      <c r="B34" s="120" t="s">
        <v>410</v>
      </c>
      <c r="C34" s="116"/>
      <c r="D34" s="110">
        <v>24</v>
      </c>
      <c r="E34" s="314">
        <f t="shared" si="0"/>
        <v>1</v>
      </c>
      <c r="F34" s="311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>
      <c r="B35" s="121" t="s">
        <v>411</v>
      </c>
      <c r="C35" s="122"/>
      <c r="D35" s="123">
        <v>25</v>
      </c>
      <c r="E35" s="315">
        <f t="shared" si="0"/>
        <v>0</v>
      </c>
      <c r="F35" s="312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7" customWidth="1"/>
    <col min="16" max="16" width="16.5703125" style="236" customWidth="1"/>
    <col min="17" max="16384" width="11.42578125" style="236"/>
  </cols>
  <sheetData>
    <row r="1" spans="1:16" s="235" customFormat="1">
      <c r="A1" s="130" t="s">
        <v>452</v>
      </c>
      <c r="B1" s="127"/>
      <c r="D1" s="216" t="s">
        <v>545</v>
      </c>
    </row>
    <row r="2" spans="1:16">
      <c r="A2" s="236"/>
      <c r="B2" s="235" t="s">
        <v>453</v>
      </c>
    </row>
    <row r="3" spans="1:16" ht="20.100000000000001" customHeight="1">
      <c r="A3" s="373" t="s">
        <v>249</v>
      </c>
      <c r="B3" s="237" t="s">
        <v>86</v>
      </c>
      <c r="C3" s="238"/>
      <c r="D3" s="375" t="s">
        <v>454</v>
      </c>
      <c r="E3" s="376"/>
      <c r="F3" s="376"/>
      <c r="G3" s="376"/>
      <c r="H3" s="376"/>
      <c r="I3" s="376"/>
      <c r="J3" s="377"/>
      <c r="K3" s="239"/>
      <c r="L3" s="239"/>
      <c r="M3" s="239"/>
      <c r="N3" s="239"/>
      <c r="O3" s="240"/>
      <c r="P3" s="239"/>
    </row>
    <row r="4" spans="1:16" ht="20.100000000000001" customHeight="1">
      <c r="A4" s="374"/>
      <c r="B4" s="241"/>
      <c r="C4" s="242"/>
      <c r="D4" s="243" t="s">
        <v>87</v>
      </c>
      <c r="E4" s="243" t="s">
        <v>88</v>
      </c>
      <c r="F4" s="243" t="s">
        <v>89</v>
      </c>
      <c r="G4" s="243" t="s">
        <v>90</v>
      </c>
      <c r="H4" s="243" t="s">
        <v>91</v>
      </c>
      <c r="I4" s="243" t="s">
        <v>92</v>
      </c>
      <c r="J4" s="243" t="s">
        <v>93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94</v>
      </c>
      <c r="C5" s="242"/>
      <c r="D5" s="243" t="s">
        <v>95</v>
      </c>
      <c r="E5" s="243" t="s">
        <v>96</v>
      </c>
      <c r="F5" s="243" t="s">
        <v>97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4" t="s">
        <v>103</v>
      </c>
      <c r="M5" s="244" t="s">
        <v>104</v>
      </c>
      <c r="N5" s="246" t="s">
        <v>147</v>
      </c>
      <c r="O5" s="246" t="s">
        <v>251</v>
      </c>
      <c r="P5" s="247" t="s">
        <v>250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105</v>
      </c>
      <c r="C7" s="251" t="s">
        <v>106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102</v>
      </c>
      <c r="M7" s="253">
        <f t="shared" ref="M7:M21" si="0">MAX(D7:J7)</f>
        <v>1</v>
      </c>
      <c r="N7" s="254" t="s">
        <v>365</v>
      </c>
      <c r="O7" s="249"/>
      <c r="P7" s="243"/>
    </row>
    <row r="8" spans="1:16" ht="21" customHeight="1">
      <c r="A8" s="250">
        <v>2</v>
      </c>
      <c r="B8" s="243" t="s">
        <v>107</v>
      </c>
      <c r="C8" s="251" t="s">
        <v>108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102</v>
      </c>
      <c r="M8" s="253">
        <f t="shared" si="0"/>
        <v>1</v>
      </c>
      <c r="N8" s="254" t="s">
        <v>365</v>
      </c>
      <c r="O8" s="249"/>
      <c r="P8" s="243"/>
    </row>
    <row r="9" spans="1:16" ht="21" customHeight="1">
      <c r="A9" s="250">
        <v>3</v>
      </c>
      <c r="B9" s="243" t="s">
        <v>247</v>
      </c>
      <c r="C9" s="255" t="s">
        <v>5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102</v>
      </c>
      <c r="M9" s="253">
        <f t="shared" ref="M9" si="1">MAX(D9:J9)</f>
        <v>1</v>
      </c>
      <c r="N9" s="254" t="s">
        <v>5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>
      <c r="A11" s="250">
        <v>4</v>
      </c>
      <c r="B11" s="243" t="s">
        <v>109</v>
      </c>
      <c r="C11" s="259" t="s">
        <v>110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96</v>
      </c>
      <c r="M11" s="253">
        <f t="shared" si="0"/>
        <v>1.0522626697461936</v>
      </c>
      <c r="N11" s="254" t="s">
        <v>254</v>
      </c>
      <c r="O11" s="249" t="s">
        <v>252</v>
      </c>
      <c r="P11" s="243"/>
    </row>
    <row r="12" spans="1:16">
      <c r="A12" s="250">
        <v>5</v>
      </c>
      <c r="B12" s="243" t="s">
        <v>111</v>
      </c>
      <c r="C12" s="259" t="s">
        <v>112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95</v>
      </c>
      <c r="M12" s="253">
        <f t="shared" si="0"/>
        <v>1.0358469949391176</v>
      </c>
      <c r="N12" s="254" t="s">
        <v>254</v>
      </c>
      <c r="O12" s="249" t="s">
        <v>252</v>
      </c>
      <c r="P12" s="243"/>
    </row>
    <row r="13" spans="1:16">
      <c r="A13" s="250">
        <v>6</v>
      </c>
      <c r="B13" s="243" t="s">
        <v>113</v>
      </c>
      <c r="C13" s="259" t="s">
        <v>114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95</v>
      </c>
      <c r="M13" s="253">
        <f t="shared" si="0"/>
        <v>1.069856584592316</v>
      </c>
      <c r="N13" s="254" t="s">
        <v>254</v>
      </c>
      <c r="O13" s="249" t="s">
        <v>252</v>
      </c>
      <c r="P13" s="243"/>
    </row>
    <row r="14" spans="1:16" ht="21" customHeight="1">
      <c r="A14" s="250">
        <v>7</v>
      </c>
      <c r="B14" s="243" t="s">
        <v>115</v>
      </c>
      <c r="C14" s="259" t="s">
        <v>116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95</v>
      </c>
      <c r="M14" s="253">
        <f t="shared" si="0"/>
        <v>1.1052461688999999</v>
      </c>
      <c r="N14" s="254" t="s">
        <v>254</v>
      </c>
      <c r="O14" s="249" t="s">
        <v>252</v>
      </c>
      <c r="P14" s="243"/>
    </row>
    <row r="15" spans="1:16" ht="21" customHeight="1">
      <c r="A15" s="250">
        <v>8</v>
      </c>
      <c r="B15" s="243" t="s">
        <v>117</v>
      </c>
      <c r="C15" s="259" t="s">
        <v>118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96</v>
      </c>
      <c r="M15" s="253">
        <f t="shared" si="0"/>
        <v>1.0389446761000001</v>
      </c>
      <c r="N15" s="254" t="s">
        <v>254</v>
      </c>
      <c r="O15" s="249" t="s">
        <v>252</v>
      </c>
      <c r="P15" s="243"/>
    </row>
    <row r="16" spans="1:16" ht="21" customHeight="1">
      <c r="A16" s="250">
        <v>9</v>
      </c>
      <c r="B16" s="243" t="s">
        <v>123</v>
      </c>
      <c r="C16" s="259" t="s">
        <v>124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97</v>
      </c>
      <c r="M16" s="253">
        <f>MAX(D16:J16)</f>
        <v>1.2706602107</v>
      </c>
      <c r="N16" s="254" t="s">
        <v>254</v>
      </c>
      <c r="O16" s="249" t="s">
        <v>252</v>
      </c>
      <c r="P16" s="243"/>
    </row>
    <row r="17" spans="1:16" ht="21" customHeight="1">
      <c r="A17" s="250">
        <v>10</v>
      </c>
      <c r="B17" s="243" t="s">
        <v>119</v>
      </c>
      <c r="C17" s="260" t="s">
        <v>120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100</v>
      </c>
      <c r="M17" s="253">
        <f t="shared" si="0"/>
        <v>1.0355882019</v>
      </c>
      <c r="N17" s="254" t="s">
        <v>254</v>
      </c>
      <c r="O17" s="249" t="s">
        <v>253</v>
      </c>
      <c r="P17" s="243" t="s">
        <v>117</v>
      </c>
    </row>
    <row r="18" spans="1:16" ht="21" customHeight="1">
      <c r="A18" s="250">
        <v>11</v>
      </c>
      <c r="B18" s="243" t="s">
        <v>121</v>
      </c>
      <c r="C18" s="260" t="s">
        <v>122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99</v>
      </c>
      <c r="M18" s="253">
        <f t="shared" si="0"/>
        <v>1.1401797148999999</v>
      </c>
      <c r="N18" s="254" t="s">
        <v>254</v>
      </c>
      <c r="O18" s="249" t="s">
        <v>253</v>
      </c>
      <c r="P18" s="243" t="s">
        <v>123</v>
      </c>
    </row>
    <row r="19" spans="1:16" ht="21" customHeight="1">
      <c r="A19" s="250">
        <v>12</v>
      </c>
      <c r="B19" s="243" t="s">
        <v>125</v>
      </c>
      <c r="C19" s="260" t="s">
        <v>126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98</v>
      </c>
      <c r="M19" s="253">
        <f t="shared" si="0"/>
        <v>1.0552346931000001</v>
      </c>
      <c r="N19" s="254" t="s">
        <v>254</v>
      </c>
      <c r="O19" s="249" t="s">
        <v>253</v>
      </c>
      <c r="P19" s="243" t="s">
        <v>109</v>
      </c>
    </row>
    <row r="20" spans="1:16" ht="21" customHeight="1">
      <c r="A20" s="250">
        <v>13</v>
      </c>
      <c r="B20" s="243" t="s">
        <v>127</v>
      </c>
      <c r="C20" s="260" t="s">
        <v>128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95</v>
      </c>
      <c r="M20" s="253">
        <f t="shared" si="0"/>
        <v>1.0865859003</v>
      </c>
      <c r="N20" s="254" t="s">
        <v>254</v>
      </c>
      <c r="O20" s="249" t="s">
        <v>253</v>
      </c>
      <c r="P20" s="243" t="s">
        <v>111</v>
      </c>
    </row>
    <row r="21" spans="1:16" ht="24.75" customHeight="1">
      <c r="A21" s="250">
        <v>14</v>
      </c>
      <c r="B21" s="243" t="s">
        <v>129</v>
      </c>
      <c r="C21" s="260" t="s">
        <v>130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96</v>
      </c>
      <c r="M21" s="253">
        <f t="shared" si="0"/>
        <v>1.0522626697461936</v>
      </c>
      <c r="N21" s="254" t="s">
        <v>254</v>
      </c>
      <c r="O21" s="249" t="s">
        <v>253</v>
      </c>
      <c r="P21" s="243" t="s">
        <v>117</v>
      </c>
    </row>
    <row r="22" spans="1:16" ht="25.5">
      <c r="A22" s="250">
        <v>15</v>
      </c>
      <c r="B22" s="243" t="s">
        <v>131</v>
      </c>
      <c r="C22" s="261" t="s">
        <v>132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96</v>
      </c>
      <c r="M22" s="253">
        <f>MAX(D22:J22)</f>
        <v>1.03</v>
      </c>
      <c r="N22" s="254" t="s">
        <v>254</v>
      </c>
      <c r="O22" s="249" t="s">
        <v>253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18b9f00-f4e5-4488-840e-6084e0f1107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Dieter Seifermann</cp:lastModifiedBy>
  <cp:lastPrinted>2015-03-20T22:59:10Z</cp:lastPrinted>
  <dcterms:created xsi:type="dcterms:W3CDTF">2015-01-15T05:25:41Z</dcterms:created>
  <dcterms:modified xsi:type="dcterms:W3CDTF">2022-05-03T07:58:13Z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